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765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<sst xmlns="http://schemas.openxmlformats.org/spreadsheetml/2006/main" count="254" uniqueCount="221">
  <si>
    <t>Započítané závody:</t>
  </si>
  <si>
    <t>1.</t>
  </si>
  <si>
    <t>5,4 km</t>
  </si>
  <si>
    <t>Stříbro</t>
  </si>
  <si>
    <t>2.</t>
  </si>
  <si>
    <t>7.8 km</t>
  </si>
  <si>
    <t>3.</t>
  </si>
  <si>
    <t>5 km</t>
  </si>
  <si>
    <t>Tachov</t>
  </si>
  <si>
    <t>4.</t>
  </si>
  <si>
    <t>10 km</t>
  </si>
  <si>
    <t>5.</t>
  </si>
  <si>
    <t>4,5 km</t>
  </si>
  <si>
    <t>6.</t>
  </si>
  <si>
    <t>1.5.</t>
  </si>
  <si>
    <t>7.</t>
  </si>
  <si>
    <t>Přimda</t>
  </si>
  <si>
    <t>8.</t>
  </si>
  <si>
    <t>7 km</t>
  </si>
  <si>
    <t>9.</t>
  </si>
  <si>
    <t>Běh Olympijského dne</t>
  </si>
  <si>
    <t>5000 m</t>
  </si>
  <si>
    <t>10.</t>
  </si>
  <si>
    <t>Stříbrská hodinovka</t>
  </si>
  <si>
    <t>1 hod</t>
  </si>
  <si>
    <t>11.</t>
  </si>
  <si>
    <t>Okresní přebor na dráze</t>
  </si>
  <si>
    <t>3000 m</t>
  </si>
  <si>
    <t>12.</t>
  </si>
  <si>
    <t>9,5 km</t>
  </si>
  <si>
    <t>13.</t>
  </si>
  <si>
    <t>14.</t>
  </si>
  <si>
    <t>Chodová Planá</t>
  </si>
  <si>
    <t>15.</t>
  </si>
  <si>
    <t>3,41 km</t>
  </si>
  <si>
    <t>Planá</t>
  </si>
  <si>
    <t>16.</t>
  </si>
  <si>
    <t>20 km</t>
  </si>
  <si>
    <t xml:space="preserve">         </t>
  </si>
  <si>
    <t>17.</t>
  </si>
  <si>
    <t>2 míle</t>
  </si>
  <si>
    <t>24.12.</t>
  </si>
  <si>
    <t>18.</t>
  </si>
  <si>
    <t>31.12.</t>
  </si>
  <si>
    <t>Z osmnácti závodů se započítává třináct nejlepších výkonů. Pět nejhorších výkonů je vytištěno slabě.</t>
  </si>
  <si>
    <t>Do soutěže jsou hodnoceni pouze ti závodníci, kteří se zúčastnili alespoň pěti závodů.</t>
  </si>
  <si>
    <t>poř.</t>
  </si>
  <si>
    <t xml:space="preserve">příjmení, jméno </t>
  </si>
  <si>
    <t>nar.</t>
  </si>
  <si>
    <t>Body</t>
  </si>
  <si>
    <t>Flaks Jan</t>
  </si>
  <si>
    <t>Šůcha Václav</t>
  </si>
  <si>
    <t>Sýkora Vladimír</t>
  </si>
  <si>
    <t>Vlasák Jaroslav</t>
  </si>
  <si>
    <t>Šrámek Milan</t>
  </si>
  <si>
    <t>Málek Milan</t>
  </si>
  <si>
    <t>Čeček Jiří</t>
  </si>
  <si>
    <t>Lacina Antonín</t>
  </si>
  <si>
    <t>Kučík Štefan</t>
  </si>
  <si>
    <t>Havlíček Jaroslav</t>
  </si>
  <si>
    <t>19.</t>
  </si>
  <si>
    <t>Lacina Jiří</t>
  </si>
  <si>
    <t>20.</t>
  </si>
  <si>
    <t>21.</t>
  </si>
  <si>
    <t>22.</t>
  </si>
  <si>
    <t>23.</t>
  </si>
  <si>
    <t>Volár Miroslav</t>
  </si>
  <si>
    <t>24.</t>
  </si>
  <si>
    <t>Volena Radek</t>
  </si>
  <si>
    <t>25.</t>
  </si>
  <si>
    <t>26.</t>
  </si>
  <si>
    <t>Růžičková Gabriela</t>
  </si>
  <si>
    <t>27.</t>
  </si>
  <si>
    <t>Bouška Zdeněk</t>
  </si>
  <si>
    <t>Hrubá Jana</t>
  </si>
  <si>
    <t>8,38 km</t>
  </si>
  <si>
    <t>Němec Josef</t>
  </si>
  <si>
    <t>Silvestrovský běh ( 38. ročník )</t>
  </si>
  <si>
    <t>Suda Lukáš</t>
  </si>
  <si>
    <t>Kotek Silvestr</t>
  </si>
  <si>
    <t>Matějka Miloš</t>
  </si>
  <si>
    <t>Tolar Vladimír</t>
  </si>
  <si>
    <t>Moročkovskij Ondřej</t>
  </si>
  <si>
    <t>Bukovjan Petr</t>
  </si>
  <si>
    <t>Holátko Milan</t>
  </si>
  <si>
    <t>Kalista Jiří</t>
  </si>
  <si>
    <t>Běh městským parkem "Ganajova stezka" ( 12. ročník )</t>
  </si>
  <si>
    <t>12.2.</t>
  </si>
  <si>
    <t>Běh přes Pepíkovo lávku ( 9. ročník )</t>
  </si>
  <si>
    <t>12.3.</t>
  </si>
  <si>
    <t xml:space="preserve">Memoriál Josefa Machta ( 12. ročník ) </t>
  </si>
  <si>
    <t>20.3.</t>
  </si>
  <si>
    <t>Běh do kopce ( 15. ročník )</t>
  </si>
  <si>
    <t>13.4.</t>
  </si>
  <si>
    <t>Velikonoční desítka ( 26. ročník )</t>
  </si>
  <si>
    <t>23.4.</t>
  </si>
  <si>
    <t>Běh KERMI ( 3. ročník )</t>
  </si>
  <si>
    <t>10,5 km</t>
  </si>
  <si>
    <t>Běh ke zřícenině ( 9. ročník )</t>
  </si>
  <si>
    <t>21.5.</t>
  </si>
  <si>
    <t>Běh historickým Stříbrem ( 21. ročník  )</t>
  </si>
  <si>
    <t>12.6.</t>
  </si>
  <si>
    <t>22.6.</t>
  </si>
  <si>
    <t>25.8.</t>
  </si>
  <si>
    <t>21.9.</t>
  </si>
  <si>
    <t>Běh kolem Mže ( 41. ročník )</t>
  </si>
  <si>
    <t>1.10.</t>
  </si>
  <si>
    <t>Večerní běh Tachovem ( 13. ročník )</t>
  </si>
  <si>
    <t>6.10.</t>
  </si>
  <si>
    <t>Běh z Pístova ( 37. ročník )</t>
  </si>
  <si>
    <t>9.10.</t>
  </si>
  <si>
    <t>Večerní běh Planou ( 13. ročník )</t>
  </si>
  <si>
    <t>20.10.</t>
  </si>
  <si>
    <t>Mikulášská dvacítka ( 19. ročník )</t>
  </si>
  <si>
    <t>26.11.</t>
  </si>
  <si>
    <t>Vánoční míle ( 29. ročník )</t>
  </si>
  <si>
    <t>Havlíček Tomáš</t>
  </si>
  <si>
    <t>Zíka Josef</t>
  </si>
  <si>
    <t>Zíka Jan</t>
  </si>
  <si>
    <t>Krabec Jan</t>
  </si>
  <si>
    <t>Leško Jiří</t>
  </si>
  <si>
    <t>Trávníček Jiří</t>
  </si>
  <si>
    <t>Barnáš Vladimír</t>
  </si>
  <si>
    <t>28.</t>
  </si>
  <si>
    <t>29.</t>
  </si>
  <si>
    <t>30.</t>
  </si>
  <si>
    <t>31.</t>
  </si>
  <si>
    <t>32.</t>
  </si>
  <si>
    <t>33.</t>
  </si>
  <si>
    <t>Ščasný Miloslav</t>
  </si>
  <si>
    <t>34.</t>
  </si>
  <si>
    <t>Mužík Martin</t>
  </si>
  <si>
    <t>Ganaj Karel</t>
  </si>
  <si>
    <t>Michalec Jan</t>
  </si>
  <si>
    <t>35.</t>
  </si>
  <si>
    <t>36.</t>
  </si>
  <si>
    <t>37.</t>
  </si>
  <si>
    <t>Bíba Jan</t>
  </si>
  <si>
    <t>Kaiss Alexander</t>
  </si>
  <si>
    <t>Návrat Radim</t>
  </si>
  <si>
    <t>Böhm Karel</t>
  </si>
  <si>
    <t>38.</t>
  </si>
  <si>
    <t>Šůsová Stanislava</t>
  </si>
  <si>
    <t>39.</t>
  </si>
  <si>
    <t>Chytilová Barbora</t>
  </si>
  <si>
    <t>40.</t>
  </si>
  <si>
    <t>41.</t>
  </si>
  <si>
    <t>42.</t>
  </si>
  <si>
    <t>43.</t>
  </si>
  <si>
    <t>Deredimosová Pavla</t>
  </si>
  <si>
    <t>Müllerová Soňa</t>
  </si>
  <si>
    <t>Kříž Miroslav</t>
  </si>
  <si>
    <t>Šrámek Stanislav</t>
  </si>
  <si>
    <t>Bursík Petr</t>
  </si>
  <si>
    <t>Holčík Jan</t>
  </si>
  <si>
    <t>44.</t>
  </si>
  <si>
    <t>45.</t>
  </si>
  <si>
    <t>46.</t>
  </si>
  <si>
    <t>47.</t>
  </si>
  <si>
    <t>Šedivá Jaroslava</t>
  </si>
  <si>
    <t>48.</t>
  </si>
  <si>
    <t>49.</t>
  </si>
  <si>
    <t>50.</t>
  </si>
  <si>
    <t>Suda Josef</t>
  </si>
  <si>
    <t>Zahrádka Jan</t>
  </si>
  <si>
    <t>51.</t>
  </si>
  <si>
    <t>52.</t>
  </si>
  <si>
    <t xml:space="preserve">BODIT CUP 2011 - O nejlepšího běžce Tachovska </t>
  </si>
  <si>
    <t>Moročkovskij Ivo</t>
  </si>
  <si>
    <t>Jaša Tomáš</t>
  </si>
  <si>
    <t>53.</t>
  </si>
  <si>
    <t>Hrubá Karolína</t>
  </si>
  <si>
    <t>54.</t>
  </si>
  <si>
    <t>Škarda Zdeněk</t>
  </si>
  <si>
    <t>55.</t>
  </si>
  <si>
    <t>Kunc Petr</t>
  </si>
  <si>
    <t>Kuncová Eliška</t>
  </si>
  <si>
    <t>Součková Zuzana</t>
  </si>
  <si>
    <t>Šarközi Lukáš</t>
  </si>
  <si>
    <t>Kovač Jiří</t>
  </si>
  <si>
    <t>56.</t>
  </si>
  <si>
    <t>57.</t>
  </si>
  <si>
    <t>58.</t>
  </si>
  <si>
    <t>59.</t>
  </si>
  <si>
    <t>60.</t>
  </si>
  <si>
    <t>3,3 km</t>
  </si>
  <si>
    <t>Nejedlý Marek</t>
  </si>
  <si>
    <t>Meller Petr</t>
  </si>
  <si>
    <t>Ambrož Jan</t>
  </si>
  <si>
    <t>Suková Anna</t>
  </si>
  <si>
    <t>Straka Jiří</t>
  </si>
  <si>
    <t>Kudláček Pavel</t>
  </si>
  <si>
    <t>Ovčačík Martin</t>
  </si>
  <si>
    <t>Vasilečková Nela</t>
  </si>
  <si>
    <t>61.</t>
  </si>
  <si>
    <t>62.</t>
  </si>
  <si>
    <t>Dvořák Josef</t>
  </si>
  <si>
    <t>63.</t>
  </si>
  <si>
    <t>Schmidtová Marcela</t>
  </si>
  <si>
    <t>64.</t>
  </si>
  <si>
    <t>65.</t>
  </si>
  <si>
    <t>66.</t>
  </si>
  <si>
    <t>67.</t>
  </si>
  <si>
    <t>68.</t>
  </si>
  <si>
    <t>69.</t>
  </si>
  <si>
    <t>Šrámková Veronika</t>
  </si>
  <si>
    <t>70.</t>
  </si>
  <si>
    <t>71.</t>
  </si>
  <si>
    <t>Šrámková Petra</t>
  </si>
  <si>
    <t>72.</t>
  </si>
  <si>
    <t>Pejšová Simona</t>
  </si>
  <si>
    <t>73.</t>
  </si>
  <si>
    <t>Šindelář Luboš</t>
  </si>
  <si>
    <t>74.</t>
  </si>
  <si>
    <t>17. ročník</t>
  </si>
  <si>
    <t>Špindler David</t>
  </si>
  <si>
    <t>Kotala Jaroslav</t>
  </si>
  <si>
    <t>75.</t>
  </si>
  <si>
    <t>76.</t>
  </si>
  <si>
    <t>David Ivan</t>
  </si>
  <si>
    <t>77.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</si>
</sst>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/>
    </xf>
    <xf numFmtId="1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workbookViewId="0" topLeftCell="A21">
      <selection activeCell="S29" sqref="S29"/>
    </sheetView>
  </sheetViews>
  <sheetFormatPr defaultColWidth="9.00390625" defaultRowHeight="12.75"/>
  <cols>
    <col min="1" max="1" width="3.875" style="5" customWidth="1"/>
    <col min="2" max="2" width="17.625" style="5" bestFit="1" customWidth="1"/>
    <col min="3" max="3" width="5.875" style="5" customWidth="1"/>
    <col min="4" max="21" width="5.125" style="5" customWidth="1"/>
    <col min="22" max="22" width="9.75390625" style="5" bestFit="1" customWidth="1"/>
    <col min="23" max="16384" width="9.125" style="5" customWidth="1"/>
  </cols>
  <sheetData>
    <row r="1" spans="1:22" ht="15.75">
      <c r="A1" s="1" t="s">
        <v>167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4"/>
    </row>
    <row r="2" spans="1:22" s="10" customFormat="1" ht="11.25">
      <c r="A2" s="43" t="s">
        <v>214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8"/>
      <c r="U2" s="8"/>
      <c r="V2" s="9"/>
    </row>
    <row r="3" spans="1:22" s="10" customFormat="1" ht="11.25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8"/>
      <c r="U3" s="8"/>
      <c r="V3" s="9"/>
    </row>
    <row r="4" spans="1:22" s="10" customFormat="1" ht="11.25">
      <c r="A4" s="11" t="s">
        <v>0</v>
      </c>
      <c r="B4" s="12"/>
      <c r="C4" s="7" t="s">
        <v>1</v>
      </c>
      <c r="D4" s="12" t="s">
        <v>86</v>
      </c>
      <c r="E4" s="12"/>
      <c r="F4" s="12"/>
      <c r="G4" s="12"/>
      <c r="H4" s="12"/>
      <c r="I4" s="12"/>
      <c r="J4" s="12"/>
      <c r="K4" s="12"/>
      <c r="L4" s="12"/>
      <c r="M4" s="12" t="s">
        <v>2</v>
      </c>
      <c r="N4" s="12"/>
      <c r="O4" s="13" t="s">
        <v>87</v>
      </c>
      <c r="P4" s="12"/>
      <c r="Q4" s="12" t="s">
        <v>3</v>
      </c>
      <c r="R4" s="12"/>
      <c r="S4" s="14"/>
      <c r="T4" s="14"/>
      <c r="U4" s="14"/>
      <c r="V4" s="9"/>
    </row>
    <row r="5" spans="1:22" s="10" customFormat="1" ht="11.25">
      <c r="A5" s="11"/>
      <c r="B5" s="12"/>
      <c r="C5" s="7" t="s">
        <v>4</v>
      </c>
      <c r="D5" s="12" t="s">
        <v>88</v>
      </c>
      <c r="E5" s="12"/>
      <c r="F5" s="12"/>
      <c r="G5" s="12"/>
      <c r="H5" s="12"/>
      <c r="I5" s="12"/>
      <c r="J5" s="12"/>
      <c r="K5" s="12"/>
      <c r="L5" s="12"/>
      <c r="M5" s="12" t="s">
        <v>5</v>
      </c>
      <c r="N5" s="12"/>
      <c r="O5" s="13" t="s">
        <v>89</v>
      </c>
      <c r="P5" s="12"/>
      <c r="Q5" s="12" t="s">
        <v>3</v>
      </c>
      <c r="R5" s="12"/>
      <c r="S5" s="14"/>
      <c r="T5" s="14"/>
      <c r="U5" s="14"/>
      <c r="V5" s="9"/>
    </row>
    <row r="6" spans="1:22" s="10" customFormat="1" ht="11.25">
      <c r="A6" s="11"/>
      <c r="B6" s="12"/>
      <c r="C6" s="7" t="s">
        <v>6</v>
      </c>
      <c r="D6" s="12" t="s">
        <v>90</v>
      </c>
      <c r="E6" s="12"/>
      <c r="F6" s="12"/>
      <c r="G6" s="12"/>
      <c r="H6" s="12"/>
      <c r="I6" s="12"/>
      <c r="J6" s="12"/>
      <c r="K6" s="12"/>
      <c r="L6" s="12"/>
      <c r="M6" s="12" t="s">
        <v>7</v>
      </c>
      <c r="N6" s="12"/>
      <c r="O6" s="14" t="s">
        <v>91</v>
      </c>
      <c r="P6" s="12"/>
      <c r="Q6" s="12" t="s">
        <v>8</v>
      </c>
      <c r="R6" s="12"/>
      <c r="S6" s="14"/>
      <c r="T6" s="14"/>
      <c r="U6" s="14"/>
      <c r="V6" s="9"/>
    </row>
    <row r="7" spans="1:22" s="10" customFormat="1" ht="11.25">
      <c r="A7" s="11"/>
      <c r="B7" s="12"/>
      <c r="C7" s="7" t="s">
        <v>9</v>
      </c>
      <c r="D7" s="12" t="s">
        <v>92</v>
      </c>
      <c r="E7" s="12"/>
      <c r="F7" s="12"/>
      <c r="G7" s="12"/>
      <c r="H7" s="12"/>
      <c r="I7" s="12"/>
      <c r="J7" s="12"/>
      <c r="K7" s="12"/>
      <c r="L7" s="12"/>
      <c r="M7" s="12" t="s">
        <v>12</v>
      </c>
      <c r="N7" s="12"/>
      <c r="O7" s="14" t="s">
        <v>93</v>
      </c>
      <c r="P7" s="12"/>
      <c r="Q7" s="12" t="s">
        <v>3</v>
      </c>
      <c r="R7" s="12"/>
      <c r="S7" s="14"/>
      <c r="T7" s="14"/>
      <c r="U7" s="14"/>
      <c r="V7" s="9"/>
    </row>
    <row r="8" spans="1:22" s="10" customFormat="1" ht="11.25">
      <c r="A8" s="11"/>
      <c r="B8" s="12"/>
      <c r="C8" s="7" t="s">
        <v>11</v>
      </c>
      <c r="D8" s="12" t="s">
        <v>94</v>
      </c>
      <c r="E8" s="12"/>
      <c r="F8" s="12"/>
      <c r="G8" s="12"/>
      <c r="H8" s="12"/>
      <c r="I8" s="12"/>
      <c r="J8" s="12"/>
      <c r="K8" s="12"/>
      <c r="L8" s="12"/>
      <c r="M8" s="12" t="s">
        <v>10</v>
      </c>
      <c r="N8" s="12"/>
      <c r="O8" s="14" t="s">
        <v>95</v>
      </c>
      <c r="P8" s="12"/>
      <c r="Q8" s="12" t="s">
        <v>3</v>
      </c>
      <c r="R8" s="12"/>
      <c r="S8" s="14"/>
      <c r="T8" s="14"/>
      <c r="U8" s="14"/>
      <c r="V8" s="9"/>
    </row>
    <row r="9" spans="1:22" s="10" customFormat="1" ht="11.25">
      <c r="A9" s="11"/>
      <c r="B9" s="12"/>
      <c r="C9" s="7" t="s">
        <v>13</v>
      </c>
      <c r="D9" s="12" t="s">
        <v>96</v>
      </c>
      <c r="E9" s="12"/>
      <c r="F9" s="12"/>
      <c r="G9" s="12"/>
      <c r="H9" s="12"/>
      <c r="I9" s="12"/>
      <c r="J9" s="12"/>
      <c r="K9" s="12"/>
      <c r="L9" s="12"/>
      <c r="M9" s="12" t="s">
        <v>97</v>
      </c>
      <c r="N9" s="12"/>
      <c r="O9" s="14" t="s">
        <v>14</v>
      </c>
      <c r="P9" s="12"/>
      <c r="Q9" s="12" t="s">
        <v>3</v>
      </c>
      <c r="R9" s="12"/>
      <c r="S9" s="14"/>
      <c r="T9" s="14"/>
      <c r="U9" s="14"/>
      <c r="V9" s="9"/>
    </row>
    <row r="10" spans="1:34" s="10" customFormat="1" ht="11.25">
      <c r="A10" s="12"/>
      <c r="B10" s="12"/>
      <c r="C10" s="7" t="s">
        <v>15</v>
      </c>
      <c r="D10" s="12" t="s">
        <v>98</v>
      </c>
      <c r="E10" s="12"/>
      <c r="F10" s="12"/>
      <c r="G10" s="12"/>
      <c r="H10" s="12"/>
      <c r="I10" s="12"/>
      <c r="J10" s="12"/>
      <c r="K10" s="12"/>
      <c r="L10" s="12"/>
      <c r="M10" s="12" t="s">
        <v>10</v>
      </c>
      <c r="N10" s="12"/>
      <c r="O10" s="14" t="s">
        <v>99</v>
      </c>
      <c r="P10" s="12"/>
      <c r="Q10" s="12" t="s">
        <v>16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4"/>
      <c r="AF10" s="12"/>
      <c r="AG10" s="12"/>
      <c r="AH10" s="12"/>
    </row>
    <row r="11" spans="1:34" s="10" customFormat="1" ht="11.25">
      <c r="A11" s="12"/>
      <c r="C11" s="7" t="s">
        <v>17</v>
      </c>
      <c r="D11" s="12" t="s">
        <v>100</v>
      </c>
      <c r="E11" s="12"/>
      <c r="F11" s="12"/>
      <c r="G11" s="12"/>
      <c r="H11" s="12"/>
      <c r="I11" s="12"/>
      <c r="J11" s="12"/>
      <c r="K11" s="12"/>
      <c r="L11" s="12"/>
      <c r="M11" s="12" t="s">
        <v>18</v>
      </c>
      <c r="N11" s="12"/>
      <c r="O11" s="14" t="s">
        <v>101</v>
      </c>
      <c r="P11" s="12"/>
      <c r="Q11" s="12" t="s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4"/>
      <c r="AF11" s="12"/>
      <c r="AG11" s="12"/>
      <c r="AH11" s="12"/>
    </row>
    <row r="12" spans="1:22" s="10" customFormat="1" ht="11.25">
      <c r="A12" s="12"/>
      <c r="B12" s="12"/>
      <c r="C12" s="7" t="s">
        <v>19</v>
      </c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 t="s">
        <v>21</v>
      </c>
      <c r="N12" s="12"/>
      <c r="O12" s="14" t="s">
        <v>102</v>
      </c>
      <c r="P12" s="12"/>
      <c r="Q12" s="12" t="s">
        <v>3</v>
      </c>
      <c r="R12" s="12"/>
      <c r="S12" s="14"/>
      <c r="T12" s="14"/>
      <c r="U12" s="14"/>
      <c r="V12" s="9"/>
    </row>
    <row r="13" spans="1:22" s="10" customFormat="1" ht="11.25">
      <c r="A13" s="12"/>
      <c r="B13" s="12"/>
      <c r="C13" s="7" t="s">
        <v>22</v>
      </c>
      <c r="D13" s="12" t="s">
        <v>23</v>
      </c>
      <c r="E13" s="12"/>
      <c r="F13" s="12"/>
      <c r="G13" s="12"/>
      <c r="H13" s="12"/>
      <c r="I13" s="12"/>
      <c r="J13" s="12"/>
      <c r="K13" s="12"/>
      <c r="L13" s="12"/>
      <c r="M13" s="15" t="s">
        <v>24</v>
      </c>
      <c r="N13" s="12"/>
      <c r="O13" s="14" t="s">
        <v>103</v>
      </c>
      <c r="P13" s="12"/>
      <c r="Q13" s="12" t="s">
        <v>3</v>
      </c>
      <c r="R13" s="12"/>
      <c r="S13" s="14"/>
      <c r="T13" s="14"/>
      <c r="U13" s="14"/>
      <c r="V13" s="9"/>
    </row>
    <row r="14" spans="1:22" s="10" customFormat="1" ht="11.25">
      <c r="A14" s="12"/>
      <c r="B14" s="16"/>
      <c r="C14" s="7" t="s">
        <v>25</v>
      </c>
      <c r="D14" s="12" t="s">
        <v>26</v>
      </c>
      <c r="E14" s="12"/>
      <c r="F14" s="12"/>
      <c r="G14" s="12"/>
      <c r="H14" s="12"/>
      <c r="I14" s="12"/>
      <c r="J14" s="12"/>
      <c r="K14" s="12"/>
      <c r="L14" s="12"/>
      <c r="M14" s="12" t="s">
        <v>27</v>
      </c>
      <c r="N14" s="12"/>
      <c r="O14" s="14" t="s">
        <v>104</v>
      </c>
      <c r="P14" s="12"/>
      <c r="Q14" s="12" t="s">
        <v>3</v>
      </c>
      <c r="S14" s="14"/>
      <c r="T14" s="14"/>
      <c r="U14" s="14"/>
      <c r="V14" s="9"/>
    </row>
    <row r="15" spans="1:22" s="10" customFormat="1" ht="11.25">
      <c r="A15" s="12"/>
      <c r="B15" s="12"/>
      <c r="C15" s="7" t="s">
        <v>28</v>
      </c>
      <c r="D15" s="12" t="s">
        <v>105</v>
      </c>
      <c r="E15" s="12"/>
      <c r="F15" s="12"/>
      <c r="G15" s="12"/>
      <c r="H15" s="12"/>
      <c r="I15" s="12"/>
      <c r="J15" s="12"/>
      <c r="K15" s="12"/>
      <c r="L15" s="12"/>
      <c r="M15" s="12" t="s">
        <v>29</v>
      </c>
      <c r="N15" s="12"/>
      <c r="O15" s="14" t="s">
        <v>106</v>
      </c>
      <c r="P15" s="12"/>
      <c r="Q15" s="12" t="s">
        <v>3</v>
      </c>
      <c r="R15" s="12"/>
      <c r="S15" s="14"/>
      <c r="T15" s="14"/>
      <c r="U15" s="14"/>
      <c r="V15" s="9"/>
    </row>
    <row r="16" spans="1:22" s="10" customFormat="1" ht="11.25">
      <c r="A16" s="12"/>
      <c r="B16" s="12"/>
      <c r="C16" s="7" t="s">
        <v>30</v>
      </c>
      <c r="D16" s="12" t="s">
        <v>107</v>
      </c>
      <c r="E16" s="12"/>
      <c r="F16" s="12"/>
      <c r="G16" s="12"/>
      <c r="H16" s="12"/>
      <c r="I16" s="12"/>
      <c r="J16" s="12"/>
      <c r="K16" s="12"/>
      <c r="L16" s="12"/>
      <c r="M16" s="12" t="s">
        <v>185</v>
      </c>
      <c r="N16" s="12"/>
      <c r="O16" s="14" t="s">
        <v>108</v>
      </c>
      <c r="P16" s="12"/>
      <c r="Q16" s="12" t="s">
        <v>8</v>
      </c>
      <c r="R16" s="12"/>
      <c r="S16" s="14"/>
      <c r="T16" s="14"/>
      <c r="U16" s="14"/>
      <c r="V16" s="9"/>
    </row>
    <row r="17" spans="1:22" s="10" customFormat="1" ht="11.25">
      <c r="A17" s="12"/>
      <c r="B17" s="16"/>
      <c r="C17" s="7" t="s">
        <v>31</v>
      </c>
      <c r="D17" s="12" t="s">
        <v>109</v>
      </c>
      <c r="E17" s="12"/>
      <c r="F17" s="12"/>
      <c r="G17" s="12"/>
      <c r="H17" s="12"/>
      <c r="I17" s="12"/>
      <c r="J17" s="12"/>
      <c r="K17" s="12"/>
      <c r="L17" s="12"/>
      <c r="M17" s="12" t="s">
        <v>75</v>
      </c>
      <c r="N17" s="12"/>
      <c r="O17" s="13" t="s">
        <v>110</v>
      </c>
      <c r="P17" s="12"/>
      <c r="Q17" s="12" t="s">
        <v>32</v>
      </c>
      <c r="R17" s="12"/>
      <c r="S17" s="14"/>
      <c r="T17" s="14"/>
      <c r="U17" s="14"/>
      <c r="V17" s="9"/>
    </row>
    <row r="18" spans="1:22" s="10" customFormat="1" ht="11.25">
      <c r="A18" s="12"/>
      <c r="B18" s="16"/>
      <c r="C18" s="7" t="s">
        <v>33</v>
      </c>
      <c r="D18" s="12" t="s">
        <v>111</v>
      </c>
      <c r="E18" s="12"/>
      <c r="F18" s="12"/>
      <c r="G18" s="12"/>
      <c r="H18" s="12"/>
      <c r="I18" s="12"/>
      <c r="J18" s="12"/>
      <c r="K18" s="12"/>
      <c r="L18" s="12"/>
      <c r="M18" s="12" t="s">
        <v>34</v>
      </c>
      <c r="N18" s="12"/>
      <c r="O18" s="14" t="s">
        <v>112</v>
      </c>
      <c r="P18" s="12"/>
      <c r="Q18" s="12" t="s">
        <v>35</v>
      </c>
      <c r="R18" s="12"/>
      <c r="S18" s="14"/>
      <c r="T18" s="14"/>
      <c r="U18" s="14"/>
      <c r="V18" s="9"/>
    </row>
    <row r="19" spans="1:22" s="10" customFormat="1" ht="11.25">
      <c r="A19" s="12"/>
      <c r="B19" s="12"/>
      <c r="C19" s="7" t="s">
        <v>36</v>
      </c>
      <c r="D19" s="15" t="s">
        <v>113</v>
      </c>
      <c r="E19" s="12"/>
      <c r="F19" s="12"/>
      <c r="G19" s="12"/>
      <c r="H19" s="12"/>
      <c r="I19" s="12"/>
      <c r="J19" s="12"/>
      <c r="K19" s="12"/>
      <c r="L19" s="12"/>
      <c r="M19" s="12" t="s">
        <v>37</v>
      </c>
      <c r="N19" s="12"/>
      <c r="O19" s="14" t="s">
        <v>114</v>
      </c>
      <c r="P19" s="12" t="s">
        <v>38</v>
      </c>
      <c r="Q19" s="12" t="s">
        <v>3</v>
      </c>
      <c r="R19" s="12"/>
      <c r="S19" s="14"/>
      <c r="T19" s="14"/>
      <c r="U19" s="14"/>
      <c r="V19" s="9"/>
    </row>
    <row r="20" spans="1:22" s="10" customFormat="1" ht="11.25">
      <c r="A20" s="12"/>
      <c r="B20" s="12"/>
      <c r="C20" s="7" t="s">
        <v>39</v>
      </c>
      <c r="D20" s="12" t="s">
        <v>115</v>
      </c>
      <c r="E20" s="12"/>
      <c r="F20" s="12"/>
      <c r="G20" s="12"/>
      <c r="H20" s="12"/>
      <c r="I20" s="12"/>
      <c r="J20" s="12"/>
      <c r="K20" s="12"/>
      <c r="L20" s="12"/>
      <c r="M20" s="12" t="s">
        <v>40</v>
      </c>
      <c r="N20" s="12"/>
      <c r="O20" s="14" t="s">
        <v>41</v>
      </c>
      <c r="P20" s="12"/>
      <c r="Q20" s="12" t="s">
        <v>3</v>
      </c>
      <c r="R20" s="12"/>
      <c r="S20" s="14"/>
      <c r="T20" s="14"/>
      <c r="U20" s="14"/>
      <c r="V20" s="9"/>
    </row>
    <row r="21" spans="1:22" s="10" customFormat="1" ht="11.25">
      <c r="A21" s="12"/>
      <c r="B21" s="12"/>
      <c r="C21" s="7" t="s">
        <v>42</v>
      </c>
      <c r="D21" s="12" t="s">
        <v>77</v>
      </c>
      <c r="E21" s="12"/>
      <c r="F21" s="12"/>
      <c r="G21" s="12"/>
      <c r="H21" s="12"/>
      <c r="I21" s="12"/>
      <c r="J21" s="12"/>
      <c r="K21" s="12"/>
      <c r="L21" s="12"/>
      <c r="M21" s="12" t="s">
        <v>7</v>
      </c>
      <c r="N21" s="12"/>
      <c r="O21" s="14" t="s">
        <v>43</v>
      </c>
      <c r="P21" s="12"/>
      <c r="Q21" s="12" t="s">
        <v>3</v>
      </c>
      <c r="R21" s="12"/>
      <c r="S21" s="14"/>
      <c r="T21" s="14"/>
      <c r="U21" s="14"/>
      <c r="V21" s="9"/>
    </row>
    <row r="22" spans="1:22" s="10" customFormat="1" ht="11.25">
      <c r="A22" s="12"/>
      <c r="S22" s="14"/>
      <c r="T22" s="14"/>
      <c r="U22" s="14"/>
      <c r="V22" s="9"/>
    </row>
    <row r="23" spans="1:22" s="10" customFormat="1" ht="11.25">
      <c r="A23" s="17" t="s">
        <v>44</v>
      </c>
      <c r="B23" s="17"/>
      <c r="C23" s="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7"/>
      <c r="T23" s="7"/>
      <c r="U23" s="7"/>
      <c r="V23" s="9"/>
    </row>
    <row r="24" spans="1:22" s="10" customFormat="1" ht="11.25">
      <c r="A24" s="17" t="s">
        <v>45</v>
      </c>
      <c r="B24" s="17"/>
      <c r="C24" s="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"/>
      <c r="T24" s="7"/>
      <c r="U24" s="7"/>
      <c r="V24" s="9"/>
    </row>
    <row r="25" spans="1:22" s="10" customFormat="1" ht="11.25">
      <c r="A25" s="12"/>
      <c r="B25" s="12"/>
      <c r="C25" s="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4"/>
      <c r="V25" s="9"/>
    </row>
    <row r="26" spans="1:22" s="10" customFormat="1" ht="11.25">
      <c r="A26" s="28" t="s">
        <v>46</v>
      </c>
      <c r="B26" s="29" t="s">
        <v>47</v>
      </c>
      <c r="C26" s="28" t="s">
        <v>48</v>
      </c>
      <c r="D26" s="28">
        <v>1</v>
      </c>
      <c r="E26" s="28">
        <v>2</v>
      </c>
      <c r="F26" s="28">
        <v>3</v>
      </c>
      <c r="G26" s="28">
        <v>4</v>
      </c>
      <c r="H26" s="28">
        <v>5</v>
      </c>
      <c r="I26" s="28">
        <v>6</v>
      </c>
      <c r="J26" s="28">
        <v>7</v>
      </c>
      <c r="K26" s="28">
        <v>8</v>
      </c>
      <c r="L26" s="28">
        <v>9</v>
      </c>
      <c r="M26" s="28">
        <v>10</v>
      </c>
      <c r="N26" s="28">
        <v>11</v>
      </c>
      <c r="O26" s="28">
        <v>12</v>
      </c>
      <c r="P26" s="28">
        <v>13</v>
      </c>
      <c r="Q26" s="28">
        <v>14</v>
      </c>
      <c r="R26" s="28">
        <v>15</v>
      </c>
      <c r="S26" s="28">
        <v>16</v>
      </c>
      <c r="T26" s="28">
        <v>17</v>
      </c>
      <c r="U26" s="28">
        <v>18</v>
      </c>
      <c r="V26" s="28" t="s">
        <v>49</v>
      </c>
    </row>
    <row r="27" spans="1:22" s="10" customFormat="1" ht="11.25">
      <c r="A27" s="30" t="s">
        <v>1</v>
      </c>
      <c r="B27" s="23" t="s">
        <v>50</v>
      </c>
      <c r="C27" s="18">
        <v>1962</v>
      </c>
      <c r="D27" s="23">
        <f>ROUND(905785/(23*60+41.2),1)</f>
        <v>637.3</v>
      </c>
      <c r="E27" s="23">
        <f>ROUND(1338451/(32*60+32),1)</f>
        <v>685.7</v>
      </c>
      <c r="F27" s="25">
        <f>ROUND(838690/(19*60+50),1)</f>
        <v>704.8</v>
      </c>
      <c r="G27" s="20">
        <f>ROUND(754821/(17*60+27),1)</f>
        <v>720.9</v>
      </c>
      <c r="H27" s="31">
        <f>ROUND(1734040/(42*60+54),1)</f>
        <v>673.7</v>
      </c>
      <c r="I27" s="19">
        <f>ROUND(1820742/(41*60+51),1)</f>
        <v>725.1</v>
      </c>
      <c r="J27" s="24">
        <v>0</v>
      </c>
      <c r="K27" s="20">
        <f>ROUND(1201174/(26*60+33),1)</f>
        <v>754</v>
      </c>
      <c r="L27" s="19">
        <f>ROUND(838690/(18*60+46.3),1)</f>
        <v>744.6</v>
      </c>
      <c r="M27" s="20">
        <f>ROUND(14933000/19959,1)</f>
        <v>748.2</v>
      </c>
      <c r="N27" s="19">
        <f>ROUND(486310/(10*60+48.2),1)</f>
        <v>750.2</v>
      </c>
      <c r="O27" s="21">
        <f>ROUND(1647338/(37*60+51),1)</f>
        <v>725.4</v>
      </c>
      <c r="P27" s="20">
        <f>ROUND(539578/(12*60+35),1)</f>
        <v>714.7</v>
      </c>
      <c r="Q27" s="31">
        <f>ROUND(1437977/(35*60+26),1)</f>
        <v>676.4</v>
      </c>
      <c r="R27" s="19">
        <f>ROUND(557564/(12*60+19),1)</f>
        <v>754.5</v>
      </c>
      <c r="S27" s="19">
        <f>ROUND(3596510/(83*60+53),1)</f>
        <v>714.6</v>
      </c>
      <c r="T27" s="23"/>
      <c r="U27" s="23"/>
      <c r="V27" s="22">
        <f>SUM(D27:U27)-SUM(D27,E27,H27,J27,Q27)</f>
        <v>8057</v>
      </c>
    </row>
    <row r="28" spans="1:22" s="10" customFormat="1" ht="11.25">
      <c r="A28" s="30" t="s">
        <v>4</v>
      </c>
      <c r="B28" s="23" t="s">
        <v>51</v>
      </c>
      <c r="C28" s="18">
        <v>1946</v>
      </c>
      <c r="D28" s="23">
        <f>ROUND(1078596/(27*60+22.3),1)</f>
        <v>656.8</v>
      </c>
      <c r="E28" s="23">
        <v>0</v>
      </c>
      <c r="F28" s="19">
        <f>ROUND(998700/(24*60+2),1)</f>
        <v>692.6</v>
      </c>
      <c r="G28" s="21">
        <f>ROUND(898830/(21*60+50),1)</f>
        <v>686.1</v>
      </c>
      <c r="H28" s="31">
        <f>ROUND(2065840/(51*60+14),1)</f>
        <v>672</v>
      </c>
      <c r="I28" s="19">
        <f>ROUND(2169132/(50*60+29),1)</f>
        <v>716.1</v>
      </c>
      <c r="J28" s="31">
        <f>ROUND(2065840/(55*60+23),1)</f>
        <v>621.7</v>
      </c>
      <c r="K28" s="20">
        <f>ROUND(1430774/(31*60+25),1)</f>
        <v>759</v>
      </c>
      <c r="L28" s="19">
        <f>ROUND(998700/(22*60+25.4),1)</f>
        <v>742.3</v>
      </c>
      <c r="M28" s="20">
        <f>ROUND(12187000/16769,1)</f>
        <v>726.8</v>
      </c>
      <c r="N28" s="19">
        <f>ROUND(579380/(12*60+39.8),1)</f>
        <v>762.5</v>
      </c>
      <c r="O28" s="21">
        <f>ROUND(1962548/(43*60+31),1)</f>
        <v>751.6</v>
      </c>
      <c r="P28" s="20">
        <f>ROUND(642731/(15*60+8),1)</f>
        <v>707.9</v>
      </c>
      <c r="Q28" s="31">
        <f>ROUND(1712841/(44*60+29),1)</f>
        <v>641.8</v>
      </c>
      <c r="R28" s="19">
        <f>ROUND(664155/(14*60+41),1)</f>
        <v>753.9</v>
      </c>
      <c r="S28" s="20">
        <f>ROUND(4281190/(100*60+13),1)</f>
        <v>712</v>
      </c>
      <c r="T28" s="23"/>
      <c r="U28" s="23"/>
      <c r="V28" s="22">
        <f>SUM(D28:U28)-SUM(D28,E28,H28,J28,Q28)</f>
        <v>8010.8</v>
      </c>
    </row>
    <row r="29" spans="1:22" s="10" customFormat="1" ht="11.25">
      <c r="A29" s="30" t="s">
        <v>6</v>
      </c>
      <c r="B29" s="23" t="s">
        <v>54</v>
      </c>
      <c r="C29" s="18">
        <v>1962</v>
      </c>
      <c r="D29" s="23">
        <f>ROUND(905785/(25*60+41.3),1)</f>
        <v>587.7</v>
      </c>
      <c r="E29" s="23">
        <v>0</v>
      </c>
      <c r="F29" s="23">
        <v>0</v>
      </c>
      <c r="G29" s="20">
        <f>ROUND(754821/(19*60+24),1)</f>
        <v>648.5</v>
      </c>
      <c r="H29" s="31">
        <f>ROUND(1734040/(46*60+37),1)</f>
        <v>620</v>
      </c>
      <c r="I29" s="19">
        <f>ROUND(1820742/(45*60+23),1)</f>
        <v>668.7</v>
      </c>
      <c r="J29" s="31">
        <f>ROUND(1734040/(47*60+51),1)</f>
        <v>604</v>
      </c>
      <c r="K29" s="20">
        <f>ROUND(1201174/(27*60+31),1)</f>
        <v>727.5</v>
      </c>
      <c r="L29" s="19">
        <f>ROUND(838690/(19*60+24.3),1)</f>
        <v>720.3</v>
      </c>
      <c r="M29" s="20">
        <f>ROUND(14083000/19959,1)</f>
        <v>705.6</v>
      </c>
      <c r="N29" s="19">
        <f>ROUND(486310/(11*60+5.2),1)</f>
        <v>731.1</v>
      </c>
      <c r="O29" s="21">
        <f>ROUND(1647338/(38*60+40),1)</f>
        <v>710.1</v>
      </c>
      <c r="P29" s="20">
        <f>ROUND(539578/(12*60+51),1)</f>
        <v>699.8</v>
      </c>
      <c r="Q29" s="20">
        <f>ROUND(1437977/(36*60+23),1)</f>
        <v>658.7</v>
      </c>
      <c r="R29" s="19">
        <f>ROUND(557564/(12*60+50),1)</f>
        <v>724.1</v>
      </c>
      <c r="S29" s="19">
        <f>ROUND(3596510/(85*60+28),1)</f>
        <v>701.3</v>
      </c>
      <c r="T29" s="23"/>
      <c r="U29" s="23"/>
      <c r="V29" s="22">
        <f>SUM(D29:U29)-SUM(D29,E29,F29,H29,J29)</f>
        <v>7695.7</v>
      </c>
    </row>
    <row r="30" spans="1:22" s="10" customFormat="1" ht="11.25">
      <c r="A30" s="30" t="s">
        <v>9</v>
      </c>
      <c r="B30" s="23" t="s">
        <v>55</v>
      </c>
      <c r="C30" s="18">
        <v>1970</v>
      </c>
      <c r="D30" s="23">
        <f>ROUND(873504/(25*60+20.1),1)</f>
        <v>574.6</v>
      </c>
      <c r="E30" s="23">
        <v>0</v>
      </c>
      <c r="F30" s="19">
        <f>ROUND(808800/(20*60+39),1)</f>
        <v>652.8</v>
      </c>
      <c r="G30" s="24">
        <v>0</v>
      </c>
      <c r="H30" s="21">
        <f>ROUND(1672050/(45*60+48),1)</f>
        <v>608.5</v>
      </c>
      <c r="I30" s="20">
        <f>ROUND(1755653/(44*60+31),1)</f>
        <v>657.3</v>
      </c>
      <c r="J30" s="31">
        <f>ROUND(1672050/(47*60+15),1)</f>
        <v>589.8</v>
      </c>
      <c r="K30" s="20">
        <f>ROUND(1158273/(28*60+0),1)</f>
        <v>689.4</v>
      </c>
      <c r="L30" s="19">
        <f>ROUND(808800/(19*60+30.9),1)</f>
        <v>690.8</v>
      </c>
      <c r="M30" s="20">
        <f>ROUND(13642000/20695,1)</f>
        <v>659.2</v>
      </c>
      <c r="N30" s="19">
        <f>ROUND(468940/(10*60+55.3),1)</f>
        <v>715.6</v>
      </c>
      <c r="O30" s="21">
        <f>ROUND(1588448/(39*60+22),1)</f>
        <v>672.5</v>
      </c>
      <c r="P30" s="39">
        <f>ROUND(520319/(12*60+52),1)</f>
        <v>674</v>
      </c>
      <c r="Q30" s="20">
        <f>ROUND(1386618/(37*60+20),1)</f>
        <v>619</v>
      </c>
      <c r="R30" s="19">
        <f>ROUND(537663/(12*60+44),1)</f>
        <v>703.7</v>
      </c>
      <c r="S30" s="23">
        <v>0</v>
      </c>
      <c r="T30" s="23"/>
      <c r="U30" s="23"/>
      <c r="V30" s="22">
        <f>SUM(D30:U30)-SUM(D30,E30,G30,J30,S30)</f>
        <v>7342.800000000001</v>
      </c>
    </row>
    <row r="31" spans="1:22" s="10" customFormat="1" ht="11.25">
      <c r="A31" s="30" t="s">
        <v>11</v>
      </c>
      <c r="B31" s="23" t="s">
        <v>120</v>
      </c>
      <c r="C31" s="27">
        <v>1963</v>
      </c>
      <c r="D31" s="24">
        <v>0</v>
      </c>
      <c r="E31" s="25">
        <f>ROUND(1338451/(35*60+6),1)</f>
        <v>635.5</v>
      </c>
      <c r="F31" s="19">
        <f>ROUND(838690/(21*60+56),1)</f>
        <v>637.3</v>
      </c>
      <c r="G31" s="21">
        <f>ROUND(754821/(19*60+57),1)</f>
        <v>630.6</v>
      </c>
      <c r="H31" s="31">
        <f>ROUND(1734040/(46*60+15),1)</f>
        <v>624.9</v>
      </c>
      <c r="I31" s="19">
        <f>ROUND(1820742/(44*60+55),1)</f>
        <v>675.6</v>
      </c>
      <c r="J31" s="31">
        <f>ROUND(1734040/(51*60+3),1)</f>
        <v>566.1</v>
      </c>
      <c r="K31" s="20">
        <f>ROUND(1201174/(29*60+27),1)</f>
        <v>679.8</v>
      </c>
      <c r="L31" s="19">
        <f>ROUND(838690/(21*60+14.5),1)</f>
        <v>658.1</v>
      </c>
      <c r="M31" s="24">
        <v>0</v>
      </c>
      <c r="N31" s="19">
        <f>ROUND(486310/(11*60+54.6),1)</f>
        <v>680.5</v>
      </c>
      <c r="O31" s="21">
        <f>ROUND(1647338/(40*60+20),1)</f>
        <v>680.7</v>
      </c>
      <c r="P31" s="20">
        <f>ROUND(539578/(14*60+11),1)</f>
        <v>634.1</v>
      </c>
      <c r="Q31" s="24">
        <v>0</v>
      </c>
      <c r="R31" s="20">
        <f>ROUND(557564/(14*60+1),1)</f>
        <v>663</v>
      </c>
      <c r="S31" s="19">
        <f>ROUND(3596510/(91*60+35),1)</f>
        <v>654.5</v>
      </c>
      <c r="T31" s="23"/>
      <c r="U31" s="23"/>
      <c r="V31" s="22">
        <f>SUM(D31:U31)-SUM(D31,H31,J31,M31,Q31)</f>
        <v>7229.700000000001</v>
      </c>
    </row>
    <row r="32" spans="1:22" s="10" customFormat="1" ht="11.25">
      <c r="A32" s="30" t="s">
        <v>13</v>
      </c>
      <c r="B32" s="23" t="s">
        <v>76</v>
      </c>
      <c r="C32" s="18">
        <v>1955</v>
      </c>
      <c r="D32" s="23">
        <f>ROUND(980932/(29*60+26.2),1)</f>
        <v>555.4</v>
      </c>
      <c r="E32" s="25">
        <f>ROUND(1449718/(40*60+17),1)</f>
        <v>599.8</v>
      </c>
      <c r="F32" s="19">
        <f>ROUND(908270/(24*60+52),1)</f>
        <v>608.8</v>
      </c>
      <c r="G32" s="21">
        <f>ROUND(817443/(22*60+46),1)</f>
        <v>598.4</v>
      </c>
      <c r="H32" s="31">
        <f>ROUND(1878340/(55*60+10),1)</f>
        <v>567.5</v>
      </c>
      <c r="I32" s="19">
        <f>ROUND(1972257/(53*60+0),1)</f>
        <v>620.2</v>
      </c>
      <c r="J32" s="31">
        <f>ROUND(1878340/(58*60+24),1)</f>
        <v>536.1</v>
      </c>
      <c r="K32" s="20">
        <f>ROUND(1301029/(32*60+17),1)</f>
        <v>671.7</v>
      </c>
      <c r="L32" s="19">
        <f>ROUND(908270/(22*60+6.5),1)</f>
        <v>684.7</v>
      </c>
      <c r="M32" s="20">
        <f>ROUND(12477000/18433,1)</f>
        <v>676.9</v>
      </c>
      <c r="N32" s="19">
        <f>ROUND(526760/(12*60+33.8),1)</f>
        <v>698.8</v>
      </c>
      <c r="O32" s="21">
        <f>ROUND(1784423/(45*60+19),1)</f>
        <v>656.3</v>
      </c>
      <c r="P32" s="20">
        <f>ROUND(584422/(14*60+49),1)</f>
        <v>657.4</v>
      </c>
      <c r="Q32" s="31">
        <f>ROUND(1557517/(43*60+25),1)</f>
        <v>597.9</v>
      </c>
      <c r="R32" s="20">
        <f>ROUND(603903/(14*60+44),1)</f>
        <v>683.1</v>
      </c>
      <c r="S32" s="23">
        <v>0</v>
      </c>
      <c r="T32" s="31"/>
      <c r="U32" s="23"/>
      <c r="V32" s="22">
        <f>SUM(D32:U32)-SUM(D32,H32,J32,Q32,S32)</f>
        <v>7156.1</v>
      </c>
    </row>
    <row r="33" spans="1:22" s="10" customFormat="1" ht="11.25">
      <c r="A33" s="30" t="s">
        <v>15</v>
      </c>
      <c r="B33" s="23" t="s">
        <v>53</v>
      </c>
      <c r="C33" s="18">
        <v>1958</v>
      </c>
      <c r="D33" s="31">
        <f>ROUND(941285/(27*60+29),1)</f>
        <v>570.8</v>
      </c>
      <c r="E33" s="25">
        <f>ROUND(1391003/(38*60+22),1)</f>
        <v>604.3</v>
      </c>
      <c r="F33" s="20">
        <f>ROUND(871560/(23*60+28),1)</f>
        <v>619</v>
      </c>
      <c r="G33" s="21">
        <f>ROUND(784404/(21*60+17),1)</f>
        <v>614.3</v>
      </c>
      <c r="H33" s="31">
        <f>ROUND(1802200/(50*60+47),1)</f>
        <v>591.5</v>
      </c>
      <c r="I33" s="19">
        <f>ROUND(1892310/(48*60+23),1)</f>
        <v>651.8</v>
      </c>
      <c r="J33" s="31">
        <f>ROUND(1802200/(52*60+48),1)</f>
        <v>568.9</v>
      </c>
      <c r="K33" s="20">
        <f>ROUND(1248336/(30*60+58),1)</f>
        <v>671.9</v>
      </c>
      <c r="L33" s="23">
        <v>0</v>
      </c>
      <c r="M33" s="20">
        <f>ROUND(12965000/19208,1)</f>
        <v>675</v>
      </c>
      <c r="N33" s="19">
        <f>ROUND(505410/(11*60+56),1)</f>
        <v>705.9</v>
      </c>
      <c r="O33" s="21">
        <f>ROUND(1712090/(42*60+59),1)</f>
        <v>663.9</v>
      </c>
      <c r="P33" s="20">
        <f>ROUND(560754/(14*60+39),1)</f>
        <v>637.9</v>
      </c>
      <c r="Q33" s="31">
        <f>ROUND(1494437/(41*60+31),1)</f>
        <v>599.9</v>
      </c>
      <c r="R33" s="19">
        <f>ROUND(579446/(14*60+26),1)</f>
        <v>669.1</v>
      </c>
      <c r="S33" s="19">
        <f>ROUND(3737280/(101*60+29),1)</f>
        <v>613.8</v>
      </c>
      <c r="T33" s="23"/>
      <c r="U33" s="23"/>
      <c r="V33" s="22">
        <f>SUM(D33:U33)-SUM(D33,H33,J33,L33,Q33)</f>
        <v>7126.899999999996</v>
      </c>
    </row>
    <row r="34" spans="1:22" s="10" customFormat="1" ht="11.25">
      <c r="A34" s="30" t="s">
        <v>17</v>
      </c>
      <c r="B34" s="23" t="s">
        <v>52</v>
      </c>
      <c r="C34" s="18">
        <v>1956</v>
      </c>
      <c r="D34" s="23">
        <f>ROUND(980932/(29*60+6.9),1)</f>
        <v>561.5</v>
      </c>
      <c r="E34" s="25">
        <f>ROUND(1449718/(38*60+43),1)</f>
        <v>624.1</v>
      </c>
      <c r="F34" s="19">
        <f>ROUND(908270/(22*60+31),1)</f>
        <v>672.3</v>
      </c>
      <c r="G34" s="31">
        <f>ROUND(817443/(25*60+45),1)</f>
        <v>529.1</v>
      </c>
      <c r="H34" s="21">
        <f>ROUND(1878340/(54*60+58),1)</f>
        <v>569.5</v>
      </c>
      <c r="I34" s="19">
        <f>ROUND(1972257/(52*60+30),1)</f>
        <v>626.1</v>
      </c>
      <c r="J34" s="24">
        <v>0</v>
      </c>
      <c r="K34" s="20">
        <f>ROUND(1301029/(32*60+43),1)</f>
        <v>662.8</v>
      </c>
      <c r="L34" s="19">
        <f>ROUND(908270/(22*60+26.4),1)</f>
        <v>674.6</v>
      </c>
      <c r="M34" s="20">
        <f>ROUND(12230000/18433,1)</f>
        <v>663.5</v>
      </c>
      <c r="N34" s="19">
        <f>ROUND(526760/(12*60+56.4),1)</f>
        <v>678.5</v>
      </c>
      <c r="O34" s="21">
        <f>ROUND(1784423/(46*60+43),1)</f>
        <v>636.6</v>
      </c>
      <c r="P34" s="21">
        <f>ROUND(584422/(15*60+38),1)</f>
        <v>623.1</v>
      </c>
      <c r="Q34" s="31">
        <f>ROUND(1557517/(49*60+45),1)</f>
        <v>521.8</v>
      </c>
      <c r="R34" s="20">
        <f>ROUND(603903/(15*60+28),1)</f>
        <v>650.8</v>
      </c>
      <c r="S34" s="23">
        <f>ROUND(3894460/(115*60+2),1)</f>
        <v>564.3</v>
      </c>
      <c r="T34" s="23"/>
      <c r="U34" s="23"/>
      <c r="V34" s="22">
        <f>SUM(D34:U34)-SUM(D34,G34,J34,Q34,S34)</f>
        <v>7081.900000000001</v>
      </c>
    </row>
    <row r="35" spans="1:22" s="10" customFormat="1" ht="11.25">
      <c r="A35" s="30" t="s">
        <v>19</v>
      </c>
      <c r="B35" s="23" t="s">
        <v>121</v>
      </c>
      <c r="C35" s="38">
        <v>1972</v>
      </c>
      <c r="D35" s="24">
        <v>0</v>
      </c>
      <c r="E35" s="25">
        <f>ROUND(1246645/(33*60+49),1)</f>
        <v>614.4</v>
      </c>
      <c r="F35" s="19">
        <f>ROUND(781280/(20*60+13),1)</f>
        <v>644.1</v>
      </c>
      <c r="G35" s="21">
        <f>ROUND(703152/(19*60+12),1)</f>
        <v>610.4</v>
      </c>
      <c r="H35" s="31">
        <f>ROUND(1614990/(46*60+11),1)</f>
        <v>582.8</v>
      </c>
      <c r="I35" s="19">
        <f>ROUND(1695740/(44*60+51),1)</f>
        <v>630.2</v>
      </c>
      <c r="J35" s="24">
        <v>0</v>
      </c>
      <c r="K35" s="20">
        <f>ROUND(1118784/(27*60+36),1)</f>
        <v>675.6</v>
      </c>
      <c r="L35" s="19">
        <f>ROUND(781280/(19*60+14.3),1)</f>
        <v>676.8</v>
      </c>
      <c r="M35" s="20">
        <f>ROUND(13596000/21423,1)</f>
        <v>634.6</v>
      </c>
      <c r="N35" s="19">
        <f>ROUND(452950/(10*60+54),1)</f>
        <v>692.6</v>
      </c>
      <c r="O35" s="24">
        <v>0</v>
      </c>
      <c r="P35" s="20">
        <f>ROUND(502589/(13*60+30),1)</f>
        <v>620.5</v>
      </c>
      <c r="Q35" s="21">
        <f>ROUND(1339344/(37*60+51),1)</f>
        <v>589.8</v>
      </c>
      <c r="R35" s="19">
        <f>ROUND(519342/(12*60+57),1)</f>
        <v>668.4</v>
      </c>
      <c r="S35" s="31">
        <f>ROUND(3350520/(94*60+46),1)</f>
        <v>589.3</v>
      </c>
      <c r="T35" s="23"/>
      <c r="U35" s="23"/>
      <c r="V35" s="22">
        <f>SUM(D35:U35)-SUM(D35,H35,J35,O35,S35)</f>
        <v>7057.4</v>
      </c>
    </row>
    <row r="36" spans="1:22" s="10" customFormat="1" ht="11.25">
      <c r="A36" s="30" t="s">
        <v>22</v>
      </c>
      <c r="B36" s="23" t="s">
        <v>80</v>
      </c>
      <c r="C36" s="27">
        <v>1960</v>
      </c>
      <c r="D36" s="31">
        <f>ROUND(941285/(28*60+45.2),1)</f>
        <v>545.6</v>
      </c>
      <c r="E36" s="25">
        <f>ROUND(1391003/(39*60+49),1)</f>
        <v>582.3</v>
      </c>
      <c r="F36" s="23">
        <v>0</v>
      </c>
      <c r="G36" s="20">
        <f>ROUND(784404/(21*60+34),1)</f>
        <v>606.2</v>
      </c>
      <c r="H36" s="24">
        <v>0</v>
      </c>
      <c r="I36" s="19">
        <f>ROUND(1892310/(50*60+45),1)</f>
        <v>621.4</v>
      </c>
      <c r="J36" s="31">
        <f>ROUND(1802200/(54*60+58),1)</f>
        <v>546.5</v>
      </c>
      <c r="K36" s="20">
        <f>ROUND(1248336/(31*60+41),1)</f>
        <v>656.7</v>
      </c>
      <c r="L36" s="19">
        <f>ROUND(871560/(22*60+38.1),1)</f>
        <v>641.7</v>
      </c>
      <c r="M36" s="21">
        <f>ROUND(11012000/19208,1)</f>
        <v>573.3</v>
      </c>
      <c r="N36" s="19">
        <f>ROUND(505410/(12*60+44.2),1)</f>
        <v>661.4</v>
      </c>
      <c r="O36" s="24">
        <v>0</v>
      </c>
      <c r="P36" s="20">
        <f>ROUND(560754/(15*60+26),1)</f>
        <v>605.6</v>
      </c>
      <c r="Q36" s="20">
        <f>ROUND(1494437/(42*60+53),1)</f>
        <v>580.8</v>
      </c>
      <c r="R36" s="45">
        <f>ROUND(579446/(14*60+50),1)</f>
        <v>651.1</v>
      </c>
      <c r="S36" s="20">
        <f>ROUND(3737280/(102*60+27),1)</f>
        <v>608</v>
      </c>
      <c r="T36" s="23"/>
      <c r="U36" s="23"/>
      <c r="V36" s="22">
        <f>SUM(D36:U36)-SUM(D36,F36,H36,J36,O36)</f>
        <v>6788.5</v>
      </c>
    </row>
    <row r="37" spans="1:22" s="12" customFormat="1" ht="11.25">
      <c r="A37" s="30" t="s">
        <v>25</v>
      </c>
      <c r="B37" s="23" t="s">
        <v>122</v>
      </c>
      <c r="C37" s="27">
        <v>1953</v>
      </c>
      <c r="D37" s="24">
        <v>0</v>
      </c>
      <c r="E37" s="25">
        <f>ROUND(1449718/(42*60+33),1)</f>
        <v>567.8</v>
      </c>
      <c r="F37" s="19">
        <f>ROUND(908270/(25*60+12),1)</f>
        <v>600.7</v>
      </c>
      <c r="G37" s="20">
        <f>ROUND(817443/(22*60+55),1)</f>
        <v>594.5</v>
      </c>
      <c r="H37" s="21">
        <f>ROUND(1878340/(57*60+39),1)</f>
        <v>543</v>
      </c>
      <c r="I37" s="21">
        <f>ROUND(1972257/(55*60+26),1)</f>
        <v>593</v>
      </c>
      <c r="J37" s="21">
        <f>ROUND(1878340/(58*60+48),1)</f>
        <v>532.4</v>
      </c>
      <c r="K37" s="20">
        <f>ROUND(1301029/(35*60+49),1)</f>
        <v>605.4</v>
      </c>
      <c r="L37" s="19">
        <f>ROUND(908270/(23*60+23),1)</f>
        <v>647.4</v>
      </c>
      <c r="M37" s="24">
        <v>0</v>
      </c>
      <c r="N37" s="20">
        <f>ROUND(526760/(13*60+45.6),1)</f>
        <v>638</v>
      </c>
      <c r="O37" s="24">
        <v>0</v>
      </c>
      <c r="P37" s="20">
        <f>ROUND(584422/(16*60+3),1)</f>
        <v>606.9</v>
      </c>
      <c r="Q37" s="24">
        <v>0</v>
      </c>
      <c r="R37" s="20">
        <f>ROUND(603903/(16*60+7),1)</f>
        <v>624.5</v>
      </c>
      <c r="S37" s="23">
        <v>0</v>
      </c>
      <c r="T37" s="25"/>
      <c r="U37" s="25"/>
      <c r="V37" s="22">
        <f>SUM(D37:U37)-SUM(D37,M37,O37,Q37,S37)</f>
        <v>6553.599999999999</v>
      </c>
    </row>
    <row r="38" spans="1:22" s="12" customFormat="1" ht="11.25">
      <c r="A38" s="30" t="s">
        <v>28</v>
      </c>
      <c r="B38" s="23" t="s">
        <v>169</v>
      </c>
      <c r="C38" s="27">
        <v>1992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37">
        <v>0</v>
      </c>
      <c r="J38" s="37">
        <v>0</v>
      </c>
      <c r="K38" s="21">
        <f>ROUND(1119011/(22*60+20),1)</f>
        <v>835.1</v>
      </c>
      <c r="L38" s="25">
        <f>ROUND(778390/(16*60+29.6),1)</f>
        <v>786.6</v>
      </c>
      <c r="M38" s="21">
        <f>ROUND(17520000/21224,1)</f>
        <v>825.5</v>
      </c>
      <c r="N38" s="21">
        <f>ROUND(448960/(8*60+45.7),1)</f>
        <v>854</v>
      </c>
      <c r="O38" s="21">
        <f>ROUND(1537461/(31*60+27),1)</f>
        <v>814.8</v>
      </c>
      <c r="P38" s="20">
        <f>ROUND(498569/(10*60+33),1)</f>
        <v>787.6</v>
      </c>
      <c r="Q38" s="26">
        <v>0</v>
      </c>
      <c r="R38" s="25">
        <f>ROUND(515188/(10*60+27),1)</f>
        <v>821.7</v>
      </c>
      <c r="S38" s="25">
        <f>ROUND(3380000/(71*60+14),1)</f>
        <v>790.8</v>
      </c>
      <c r="T38" s="25"/>
      <c r="U38" s="25"/>
      <c r="V38" s="22">
        <f>SUM(D38:U38)-SUM(,D38,E38,F38,G38,H38)</f>
        <v>6516.1</v>
      </c>
    </row>
    <row r="39" spans="1:22" s="12" customFormat="1" ht="11.25">
      <c r="A39" s="30" t="s">
        <v>30</v>
      </c>
      <c r="B39" s="23" t="s">
        <v>58</v>
      </c>
      <c r="C39" s="32">
        <v>1967</v>
      </c>
      <c r="D39" s="25">
        <f>ROUND(873504/(27*60+55.7),1)</f>
        <v>521.3</v>
      </c>
      <c r="E39" s="25">
        <f>ROUND(1290647/(39*60+4),1)</f>
        <v>550.6</v>
      </c>
      <c r="F39" s="23">
        <v>0</v>
      </c>
      <c r="G39" s="20">
        <f>ROUND(727920/(20*60+17),1)</f>
        <v>598.1</v>
      </c>
      <c r="H39" s="21">
        <f>ROUND(1672050/(49*60+39),1)</f>
        <v>561.3</v>
      </c>
      <c r="I39" s="20">
        <f>ROUND(1755653/(48*60+49),1)</f>
        <v>599.4</v>
      </c>
      <c r="J39" s="24">
        <v>0</v>
      </c>
      <c r="K39" s="20">
        <f>ROUND(1158273/(31*60+33),1)</f>
        <v>611.9</v>
      </c>
      <c r="L39" s="19">
        <f>ROUND(808800/(21*60+19),1)</f>
        <v>632.4</v>
      </c>
      <c r="M39" s="20">
        <f>ROUND(12647000/20695,1)</f>
        <v>611.1</v>
      </c>
      <c r="N39" s="20">
        <f>ROUND(468940/(12*60+27.9),1)</f>
        <v>627</v>
      </c>
      <c r="O39" s="21">
        <f>ROUND(1588448/(45*60+3),1)</f>
        <v>587.7</v>
      </c>
      <c r="P39" s="44">
        <v>0</v>
      </c>
      <c r="Q39" s="31">
        <f>ROUND(1386618/(45*60+36),1)</f>
        <v>506.8</v>
      </c>
      <c r="R39" s="23">
        <v>0</v>
      </c>
      <c r="S39" s="19">
        <f>ROUND(3468450/(101*60+45),1)</f>
        <v>568.1</v>
      </c>
      <c r="T39" s="25"/>
      <c r="U39" s="25"/>
      <c r="V39" s="22">
        <f>SUM(D39:U39)-SUM(F39,J39,P39,Q39,R39)</f>
        <v>6468.900000000001</v>
      </c>
    </row>
    <row r="40" spans="1:22" s="12" customFormat="1" ht="11.25">
      <c r="A40" s="30" t="s">
        <v>31</v>
      </c>
      <c r="B40" s="23" t="s">
        <v>79</v>
      </c>
      <c r="C40" s="32">
        <v>1962</v>
      </c>
      <c r="D40" s="21">
        <f>ROUND(905785/(25*60+48.4),1)</f>
        <v>585</v>
      </c>
      <c r="E40" s="25">
        <f>ROUND(1338451/(35*60+20),1)</f>
        <v>631.3</v>
      </c>
      <c r="F40" s="23">
        <v>0</v>
      </c>
      <c r="G40" s="20">
        <f>ROUND(754821/(19*60+44),1)</f>
        <v>637.5</v>
      </c>
      <c r="H40" s="21">
        <f>ROUND(1734040/(47*60+16),1)</f>
        <v>611.4</v>
      </c>
      <c r="I40" s="19">
        <f>ROUND(1820742/(44*60+55),1)</f>
        <v>675.6</v>
      </c>
      <c r="J40" s="24">
        <v>0</v>
      </c>
      <c r="K40" s="20">
        <f>ROUND(1201174/(30*60+15),1)</f>
        <v>661.8</v>
      </c>
      <c r="L40" s="19">
        <f>ROUND(838690/(21*60+11.1),1)</f>
        <v>659.8</v>
      </c>
      <c r="M40" s="24">
        <v>0</v>
      </c>
      <c r="N40" s="19">
        <f>ROUND(486310/(12*60+7.5),1)</f>
        <v>668.5</v>
      </c>
      <c r="O40" s="21">
        <f>ROUND(1647338/(42*60+31),1)</f>
        <v>645.8</v>
      </c>
      <c r="P40" s="24">
        <v>0</v>
      </c>
      <c r="Q40" s="24">
        <v>0</v>
      </c>
      <c r="R40" s="19">
        <v>0</v>
      </c>
      <c r="S40" s="19">
        <f>ROUND(3596510/(97*60+42),1)</f>
        <v>613.5</v>
      </c>
      <c r="T40" s="25"/>
      <c r="U40" s="25"/>
      <c r="V40" s="22">
        <f>SUM(D40:U40)-SUM(F40,J40,M40,P40,Q40)</f>
        <v>6390.2</v>
      </c>
    </row>
    <row r="41" spans="1:22" s="12" customFormat="1" ht="11.25">
      <c r="A41" s="30" t="s">
        <v>33</v>
      </c>
      <c r="B41" s="23" t="s">
        <v>74</v>
      </c>
      <c r="C41" s="18">
        <v>1964</v>
      </c>
      <c r="D41" s="31">
        <f>ROUND(1021334/(34*60+2.4),1)</f>
        <v>500.1</v>
      </c>
      <c r="E41" s="23">
        <v>0</v>
      </c>
      <c r="F41" s="23">
        <v>0</v>
      </c>
      <c r="G41" s="21">
        <f>ROUND(851112/(25*60+50),1)</f>
        <v>549.1</v>
      </c>
      <c r="H41" s="21">
        <f>ROUND(1952790/(63*60+51),1)</f>
        <v>509.7</v>
      </c>
      <c r="I41" s="19">
        <f>ROUND(2050430/(62*60+38),1)</f>
        <v>545.6</v>
      </c>
      <c r="J41" s="24">
        <v>0</v>
      </c>
      <c r="K41" s="21">
        <f>ROUND(1353713/(38*60+6),1)</f>
        <v>592.2</v>
      </c>
      <c r="L41" s="25">
        <f>ROUND(945680/(24*60+44),1)</f>
        <v>637.3</v>
      </c>
      <c r="M41" s="21">
        <f>ROUND(10736000/17823,1)</f>
        <v>602.4</v>
      </c>
      <c r="N41" s="25">
        <f>ROUND(548340/(14*60+41.7),1)</f>
        <v>621.9</v>
      </c>
      <c r="O41" s="21">
        <f>ROUND(1855151/(53*60+54),1)</f>
        <v>573.6</v>
      </c>
      <c r="P41" s="21">
        <f>ROUND(607967/(17*60+42),1)</f>
        <v>572.5</v>
      </c>
      <c r="Q41" s="21">
        <f>ROUND(1620587/(52*60+21),1)</f>
        <v>515.9</v>
      </c>
      <c r="R41" s="46">
        <f>ROUND(628233/(16*60+46),1)</f>
        <v>624.5</v>
      </c>
      <c r="S41" s="23">
        <v>0</v>
      </c>
      <c r="T41" s="23"/>
      <c r="U41" s="23"/>
      <c r="V41" s="22">
        <f>SUM(D41:U41)-SUM(D41,E41,F41,J41,S41)</f>
        <v>6344.7</v>
      </c>
    </row>
    <row r="42" spans="1:22" s="12" customFormat="1" ht="11.25">
      <c r="A42" s="30" t="s">
        <v>36</v>
      </c>
      <c r="B42" s="23" t="s">
        <v>56</v>
      </c>
      <c r="C42" s="18">
        <v>1950</v>
      </c>
      <c r="D42" s="25">
        <f>ROUND(1026076/(31*60+4.6),1)</f>
        <v>550.3</v>
      </c>
      <c r="E42" s="19">
        <f>ROUND(1516535/(41*60+56),1)</f>
        <v>602.8</v>
      </c>
      <c r="F42" s="23">
        <v>0</v>
      </c>
      <c r="G42" s="21">
        <f>ROUND(855063/(24*60+29),1)</f>
        <v>582.1</v>
      </c>
      <c r="H42" s="21">
        <f>ROUND(1965010/(56*60+7),1)</f>
        <v>583.6</v>
      </c>
      <c r="I42" s="19">
        <f>ROUND(2063261/(53*60+47),1)</f>
        <v>639.4</v>
      </c>
      <c r="J42" s="24">
        <v>0</v>
      </c>
      <c r="K42" s="20">
        <f>ROUND(1360993/(33*60+45),1)</f>
        <v>672.1</v>
      </c>
      <c r="L42" s="19">
        <f>ROUND(950070/(23*60+55.7),1)</f>
        <v>661.7</v>
      </c>
      <c r="M42" s="24">
        <v>0</v>
      </c>
      <c r="N42" s="20">
        <f>ROUND(551070/(13*60+58.8),1)</f>
        <v>657</v>
      </c>
      <c r="O42" s="21">
        <f>ROUND(1866760/(47*60+43),1)</f>
        <v>652</v>
      </c>
      <c r="P42" s="20">
        <f>ROUND(611361/(16*60+47),1)</f>
        <v>607.1</v>
      </c>
      <c r="Q42" s="24">
        <v>0</v>
      </c>
      <c r="R42" s="23">
        <v>0</v>
      </c>
      <c r="S42" s="19">
        <v>0</v>
      </c>
      <c r="T42" s="25"/>
      <c r="U42" s="25"/>
      <c r="V42" s="22">
        <f>SUM(D42:U42)-SUM(F42,J42,M42,Q42,R42)</f>
        <v>6208.1</v>
      </c>
    </row>
    <row r="43" spans="1:22" s="12" customFormat="1" ht="11.25">
      <c r="A43" s="30" t="s">
        <v>39</v>
      </c>
      <c r="B43" s="23" t="s">
        <v>68</v>
      </c>
      <c r="C43" s="18">
        <v>1969</v>
      </c>
      <c r="D43" s="31">
        <f>ROUND(873504/(29*60+39.2),1)</f>
        <v>491</v>
      </c>
      <c r="E43" s="19">
        <f>ROUND(1290647/(40*60+44),1)</f>
        <v>528.1</v>
      </c>
      <c r="F43" s="19">
        <f>ROUND(808800/(25*60+7),1)</f>
        <v>536.7</v>
      </c>
      <c r="G43" s="31">
        <f>ROUND(727920/(24*60+0),1)</f>
        <v>505.5</v>
      </c>
      <c r="H43" s="24">
        <v>0</v>
      </c>
      <c r="I43" s="21">
        <f>ROUND(1755653/(57*60+8),1)</f>
        <v>512.2</v>
      </c>
      <c r="J43" s="31">
        <f>ROUND(1672050/(58*60+32),1)</f>
        <v>476.1</v>
      </c>
      <c r="K43" s="20">
        <f>ROUND(1158273/(32*60+56),1)</f>
        <v>586.2</v>
      </c>
      <c r="L43" s="19">
        <f>ROUND(808800/(22*60+39),1)</f>
        <v>595.1</v>
      </c>
      <c r="M43" s="20">
        <f>ROUND(12491000/20695,1)</f>
        <v>603.6</v>
      </c>
      <c r="N43" s="19">
        <f>ROUND(468940/(13*60+1.1),1)</f>
        <v>600.4</v>
      </c>
      <c r="O43" s="21">
        <f>ROUND(1588448/(47*60+0),1)</f>
        <v>563.3</v>
      </c>
      <c r="P43" s="20">
        <f>ROUND(520319/(15*60+49),1)</f>
        <v>548.3</v>
      </c>
      <c r="Q43" s="20">
        <f>ROUND(1386618/(43*60+20),1)</f>
        <v>533.3</v>
      </c>
      <c r="R43" s="19">
        <f>ROUND(537663/(15*60+6),1)</f>
        <v>593.4</v>
      </c>
      <c r="S43" s="23">
        <v>0</v>
      </c>
      <c r="T43" s="23"/>
      <c r="U43" s="23"/>
      <c r="V43" s="22">
        <f>SUM(D43:U43)-SUM(D43,G43,H43,J43,S43)</f>
        <v>6200.6</v>
      </c>
    </row>
    <row r="44" spans="1:22" s="12" customFormat="1" ht="11.25">
      <c r="A44" s="30" t="s">
        <v>42</v>
      </c>
      <c r="B44" s="23" t="s">
        <v>85</v>
      </c>
      <c r="C44" s="27">
        <v>1965</v>
      </c>
      <c r="D44" s="25">
        <f>ROUND(905785/(32*60+4.9),1)</f>
        <v>470.6</v>
      </c>
      <c r="E44" s="23">
        <v>0</v>
      </c>
      <c r="F44" s="23">
        <v>0</v>
      </c>
      <c r="G44" s="36">
        <v>0</v>
      </c>
      <c r="H44" s="24">
        <v>0</v>
      </c>
      <c r="I44" s="19">
        <f>ROUND(1820742/(58*60+37),1)</f>
        <v>517.7</v>
      </c>
      <c r="J44" s="20">
        <f>ROUND(1734040/(59*60+6),1)</f>
        <v>489</v>
      </c>
      <c r="K44" s="20">
        <f>ROUND(1201174/(36*60+18),1)</f>
        <v>551.5</v>
      </c>
      <c r="L44" s="19">
        <f>ROUND(838690/(23*60+59),1)</f>
        <v>582.8</v>
      </c>
      <c r="M44" s="20">
        <f>ROUND(11522000/19959,1)</f>
        <v>577.3</v>
      </c>
      <c r="N44" s="20">
        <f>ROUND(486310/(13*60+14.6),1)</f>
        <v>612</v>
      </c>
      <c r="O44" s="21">
        <f>ROUND(1647338/(47*60+13),1)</f>
        <v>581.5</v>
      </c>
      <c r="P44" s="39">
        <f>ROUND(539578/(15*60+43),1)</f>
        <v>572.2</v>
      </c>
      <c r="Q44" s="20">
        <f>ROUND(1437977/(43*60+9),1)</f>
        <v>555.4</v>
      </c>
      <c r="R44" s="19">
        <f>ROUND(557564/(15*60+5),1)</f>
        <v>616.1</v>
      </c>
      <c r="S44" s="23">
        <v>0</v>
      </c>
      <c r="T44" s="25"/>
      <c r="U44" s="25"/>
      <c r="V44" s="22">
        <f>SUM(D44:U44)-SUM(E44,F44,G44,H44,S44)</f>
        <v>6126.1</v>
      </c>
    </row>
    <row r="45" spans="1:22" s="12" customFormat="1" ht="11.25">
      <c r="A45" s="30" t="s">
        <v>60</v>
      </c>
      <c r="B45" s="23" t="s">
        <v>152</v>
      </c>
      <c r="C45" s="18">
        <v>1969</v>
      </c>
      <c r="D45" s="24">
        <v>0</v>
      </c>
      <c r="E45" s="24">
        <v>0</v>
      </c>
      <c r="F45" s="24">
        <v>0</v>
      </c>
      <c r="G45" s="24">
        <v>0</v>
      </c>
      <c r="H45" s="20">
        <f>ROUND(1672050/(54*60+42),1)</f>
        <v>509.5</v>
      </c>
      <c r="I45" s="20">
        <f>ROUND(1755653/(53*60+5),1)</f>
        <v>551.2</v>
      </c>
      <c r="J45" s="24">
        <v>0</v>
      </c>
      <c r="K45" s="20">
        <f>ROUND(1158273/(31*60+47),1)</f>
        <v>607.4</v>
      </c>
      <c r="L45" s="20">
        <f>ROUND(808800/(22*60+6),1)</f>
        <v>610</v>
      </c>
      <c r="M45" s="20">
        <f>ROUND(12938000/20695,1)</f>
        <v>625.2</v>
      </c>
      <c r="N45" s="19">
        <v>0</v>
      </c>
      <c r="O45" s="21">
        <f>ROUND(1588448/(43*60+14),1)</f>
        <v>612.4</v>
      </c>
      <c r="P45" s="20">
        <f>ROUND(520319/(14*60+17),1)</f>
        <v>607.1</v>
      </c>
      <c r="Q45" s="20">
        <f>ROUND(1386618/(39*60+42),1)</f>
        <v>582.1</v>
      </c>
      <c r="R45" s="20">
        <f>ROUND(537663/(14*60+8),1)</f>
        <v>634</v>
      </c>
      <c r="S45" s="19">
        <f>ROUND(3468450/(96*60+33),1)</f>
        <v>598.7</v>
      </c>
      <c r="T45" s="25"/>
      <c r="U45" s="25"/>
      <c r="V45" s="22">
        <f>SUM(D45:U45)-SUM(D45,E45,F45,G45,J45)</f>
        <v>5937.6</v>
      </c>
    </row>
    <row r="46" spans="1:22" s="12" customFormat="1" ht="11.25">
      <c r="A46" s="30" t="s">
        <v>62</v>
      </c>
      <c r="B46" s="23" t="s">
        <v>83</v>
      </c>
      <c r="C46" s="27">
        <v>1985</v>
      </c>
      <c r="D46" s="19">
        <f>ROUND(840661/(25*60+30.9),1)</f>
        <v>549.1</v>
      </c>
      <c r="E46" s="20">
        <f>ROUND(1246898/(35*60+44),1)</f>
        <v>581.6</v>
      </c>
      <c r="F46" s="23">
        <v>0</v>
      </c>
      <c r="G46" s="24">
        <v>0</v>
      </c>
      <c r="H46" s="24">
        <v>0</v>
      </c>
      <c r="I46" s="23">
        <v>0</v>
      </c>
      <c r="J46" s="24">
        <v>0</v>
      </c>
      <c r="K46" s="20">
        <f>ROUND(1119011/(28*60+50),1)</f>
        <v>646.8</v>
      </c>
      <c r="L46" s="19">
        <f>ROUND(778390/(19*60+5.9),1)</f>
        <v>679.3</v>
      </c>
      <c r="M46" s="37">
        <v>0</v>
      </c>
      <c r="N46" s="19">
        <f>ROUND(448960/(10*60+41.8),1)</f>
        <v>699.5</v>
      </c>
      <c r="O46" s="20">
        <f>ROUND(1537461/(40*60+29),1)</f>
        <v>633</v>
      </c>
      <c r="P46" s="20">
        <f>ROUND(498569/(12*60+56),1)</f>
        <v>642.5</v>
      </c>
      <c r="Q46" s="20">
        <f>ROUND(1339616/(38*60+1),1)</f>
        <v>587.3</v>
      </c>
      <c r="R46" s="20">
        <f>ROUND(515188/(12*60+41),1)</f>
        <v>677</v>
      </c>
      <c r="S46" s="19">
        <v>0</v>
      </c>
      <c r="T46" s="25"/>
      <c r="U46" s="25"/>
      <c r="V46" s="22">
        <f>SUM(D46:U46)-SUM(F46,G46,H46,I46,J46)</f>
        <v>5696.1</v>
      </c>
    </row>
    <row r="47" spans="1:22" s="12" customFormat="1" ht="11.25">
      <c r="A47" s="30" t="s">
        <v>63</v>
      </c>
      <c r="B47" s="23" t="s">
        <v>71</v>
      </c>
      <c r="C47" s="18">
        <v>1965</v>
      </c>
      <c r="D47" s="21">
        <f>ROUND(1021334/(39*60+24),1)</f>
        <v>432</v>
      </c>
      <c r="E47" s="23">
        <v>0</v>
      </c>
      <c r="F47" s="23">
        <v>0</v>
      </c>
      <c r="G47" s="21">
        <f>ROUND(851112/(30*60+58),1)</f>
        <v>458.1</v>
      </c>
      <c r="H47" s="21">
        <f>ROUND(1952790/(75*60+57),1)</f>
        <v>428.5</v>
      </c>
      <c r="I47" s="19">
        <f>ROUND(2050430/(71*60+16),1)</f>
        <v>479.5</v>
      </c>
      <c r="J47" s="24">
        <v>0</v>
      </c>
      <c r="K47" s="21">
        <f>ROUND(1353713/(43*60+40),1)</f>
        <v>516.7</v>
      </c>
      <c r="L47" s="25">
        <f>ROUND(945680/(29*60+51.5),1)</f>
        <v>527.9</v>
      </c>
      <c r="M47" s="21">
        <f>ROUND(9015000/17823,1)</f>
        <v>505.8</v>
      </c>
      <c r="N47" s="25">
        <f>ROUND(548340/(16*60+43.4),1)</f>
        <v>546.5</v>
      </c>
      <c r="O47" s="24">
        <v>0</v>
      </c>
      <c r="P47" s="41">
        <f>ROUND(607967/(20*60+57),1)</f>
        <v>483.7</v>
      </c>
      <c r="Q47" s="21">
        <f>ROUND(1620587/(64*60+0),1)</f>
        <v>422</v>
      </c>
      <c r="R47" s="25">
        <f>ROUND(628233/(20*60+45),1)</f>
        <v>504.6</v>
      </c>
      <c r="S47" s="23">
        <v>0</v>
      </c>
      <c r="T47" s="25"/>
      <c r="U47" s="25"/>
      <c r="V47" s="22">
        <f>SUM(D47:U47)-SUM(E47,F47,J47,O47,S47)</f>
        <v>5305.300000000001</v>
      </c>
    </row>
    <row r="48" spans="1:22" s="12" customFormat="1" ht="11.25">
      <c r="A48" s="30" t="s">
        <v>64</v>
      </c>
      <c r="B48" s="23" t="s">
        <v>163</v>
      </c>
      <c r="C48" s="27">
        <v>1978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19">
        <f>ROUND(1640090/(48*60+6),1)</f>
        <v>568.3</v>
      </c>
      <c r="J48" s="20">
        <f>ROUND(1561990/(51*60+12),1)</f>
        <v>508.5</v>
      </c>
      <c r="K48" s="37">
        <v>0</v>
      </c>
      <c r="L48" s="19">
        <v>0</v>
      </c>
      <c r="M48" s="20">
        <f>ROUND(14600000/22147,1)</f>
        <v>659.2</v>
      </c>
      <c r="N48" s="19">
        <f>ROUND(438100/(10*60+40.4),1)</f>
        <v>684.1</v>
      </c>
      <c r="O48" s="20">
        <f>ROUND(1483891/(37*60+25),1)</f>
        <v>661</v>
      </c>
      <c r="P48" s="37">
        <v>0</v>
      </c>
      <c r="Q48" s="20">
        <f>ROUND(1295433/(35*60+47),1)</f>
        <v>603.4</v>
      </c>
      <c r="R48" s="20">
        <f>ROUND(502323/(12*60+18),1)</f>
        <v>680.7</v>
      </c>
      <c r="S48" s="19">
        <f>ROUND(3240960/(87*60+58),1)</f>
        <v>614.1</v>
      </c>
      <c r="T48" s="25"/>
      <c r="U48" s="25"/>
      <c r="V48" s="22">
        <f>SUM(D48:U48)-SUM(D48,E48,F48,G48,H48)</f>
        <v>4979.3</v>
      </c>
    </row>
    <row r="49" spans="1:22" s="12" customFormat="1" ht="11.25">
      <c r="A49" s="30" t="s">
        <v>65</v>
      </c>
      <c r="B49" s="23" t="s">
        <v>132</v>
      </c>
      <c r="C49" s="27">
        <v>1950</v>
      </c>
      <c r="D49" s="24">
        <v>0</v>
      </c>
      <c r="E49" s="24">
        <v>0</v>
      </c>
      <c r="F49" s="25">
        <f>ROUND(950070/(24*60+19),1)</f>
        <v>651.2</v>
      </c>
      <c r="G49" s="20">
        <f>ROUND(855063/(21*60+44),1)</f>
        <v>655.7</v>
      </c>
      <c r="H49" s="21">
        <f>ROUND(1965010/(51*60+38),1)</f>
        <v>634.3</v>
      </c>
      <c r="I49" s="20">
        <f>ROUND(2063261/(48*60+55),1)</f>
        <v>703</v>
      </c>
      <c r="J49" s="24">
        <v>0</v>
      </c>
      <c r="K49" s="20">
        <f>ROUND(1360993/(31*60+27),1)</f>
        <v>721.2</v>
      </c>
      <c r="L49" s="23">
        <v>0</v>
      </c>
      <c r="M49" s="24">
        <v>0</v>
      </c>
      <c r="N49" s="19">
        <v>0</v>
      </c>
      <c r="O49" s="26">
        <v>0</v>
      </c>
      <c r="P49" s="37">
        <v>0</v>
      </c>
      <c r="Q49" s="37">
        <v>0</v>
      </c>
      <c r="R49" s="19">
        <f>ROUND(631740/(15*60+40),1)</f>
        <v>672.1</v>
      </c>
      <c r="S49" s="19">
        <f>ROUND(4073270/(105*60+59),1)</f>
        <v>640.6</v>
      </c>
      <c r="T49" s="25"/>
      <c r="U49" s="25"/>
      <c r="V49" s="22">
        <f>SUM(D49:U49)-SUM(D49,E49,J49,L49,M49)</f>
        <v>4678.099999999999</v>
      </c>
    </row>
    <row r="50" spans="1:22" s="12" customFormat="1" ht="11.25">
      <c r="A50" s="30" t="s">
        <v>67</v>
      </c>
      <c r="B50" s="23" t="s">
        <v>81</v>
      </c>
      <c r="C50" s="18">
        <v>1940</v>
      </c>
      <c r="D50" s="25">
        <f>ROUND(1141268/(35*60+23.7),1)</f>
        <v>537.4</v>
      </c>
      <c r="E50" s="19">
        <f>ROUND(1687052/(48*60+51),1)</f>
        <v>575.6</v>
      </c>
      <c r="F50" s="25">
        <f>ROUND(1056730/(31*60+10),1)</f>
        <v>565.1</v>
      </c>
      <c r="G50" s="20">
        <f>ROUND(951057/(26*60+12),1)</f>
        <v>605</v>
      </c>
      <c r="H50" s="20">
        <f>ROUND(2186110/(60*60+10),1)</f>
        <v>605.6</v>
      </c>
      <c r="I50" s="23">
        <v>0</v>
      </c>
      <c r="J50" s="24">
        <v>0</v>
      </c>
      <c r="K50" s="21">
        <f>ROUND(1514021/(46*60+52),1)</f>
        <v>538.4</v>
      </c>
      <c r="L50" s="23">
        <v>0</v>
      </c>
      <c r="M50" s="20">
        <f>ROUND(10255000/15852,1)</f>
        <v>646.9</v>
      </c>
      <c r="N50" s="23">
        <v>0</v>
      </c>
      <c r="O50" s="24">
        <v>0</v>
      </c>
      <c r="P50" s="37">
        <v>0</v>
      </c>
      <c r="Q50" s="37">
        <v>0</v>
      </c>
      <c r="R50" s="19">
        <v>0</v>
      </c>
      <c r="S50" s="37">
        <v>0</v>
      </c>
      <c r="T50" s="25"/>
      <c r="U50" s="25"/>
      <c r="V50" s="22">
        <f>SUM(D50:U50)-SUM(I50,J50,L50,N50,O50)</f>
        <v>4074</v>
      </c>
    </row>
    <row r="51" spans="1:22" s="12" customFormat="1" ht="11.25">
      <c r="A51" s="30" t="s">
        <v>69</v>
      </c>
      <c r="B51" s="23" t="s">
        <v>73</v>
      </c>
      <c r="C51" s="18">
        <v>1948</v>
      </c>
      <c r="D51" s="25">
        <f>ROUND(1026076/(36*60+25.3),1)</f>
        <v>469.5</v>
      </c>
      <c r="E51" s="21">
        <f>ROUND(1516535/(48*60+31),1)</f>
        <v>521</v>
      </c>
      <c r="F51" s="23">
        <v>0</v>
      </c>
      <c r="G51" s="24">
        <v>0</v>
      </c>
      <c r="H51" s="20">
        <f>ROUND(1965010/(58*60+54),1)</f>
        <v>556</v>
      </c>
      <c r="I51" s="19">
        <f>ROUND(2063261/(58*60+34),1)</f>
        <v>587.2</v>
      </c>
      <c r="J51" s="24">
        <v>0</v>
      </c>
      <c r="K51" s="20">
        <f>ROUND(1360993/(37*60+24),1)</f>
        <v>606.5</v>
      </c>
      <c r="L51" s="19">
        <f>ROUND(950070/(24*60+29.4),1)</f>
        <v>646.6</v>
      </c>
      <c r="M51" s="24">
        <v>0</v>
      </c>
      <c r="N51" s="23">
        <v>0</v>
      </c>
      <c r="O51" s="26">
        <v>0</v>
      </c>
      <c r="P51" s="37">
        <v>0</v>
      </c>
      <c r="Q51" s="37">
        <v>0</v>
      </c>
      <c r="R51" s="19">
        <v>0</v>
      </c>
      <c r="S51" s="19">
        <f>ROUND(4073270/(118*60+18),1)</f>
        <v>573.9</v>
      </c>
      <c r="T51" s="25"/>
      <c r="U51" s="25"/>
      <c r="V51" s="22">
        <f>SUM(D51:U51)-SUM(F51,G51,J51,M51,N51)</f>
        <v>3960.7</v>
      </c>
    </row>
    <row r="52" spans="1:22" s="12" customFormat="1" ht="11.25">
      <c r="A52" s="30" t="s">
        <v>70</v>
      </c>
      <c r="B52" s="23" t="s">
        <v>137</v>
      </c>
      <c r="C52" s="27">
        <v>1976</v>
      </c>
      <c r="D52" s="24">
        <v>0</v>
      </c>
      <c r="E52" s="24">
        <v>0</v>
      </c>
      <c r="F52" s="24">
        <v>0</v>
      </c>
      <c r="G52" s="20">
        <f>ROUND(703152/(17*60+30),1)</f>
        <v>669.7</v>
      </c>
      <c r="H52" s="20">
        <f>ROUND(1614990/(41*60+54),1)</f>
        <v>642.4</v>
      </c>
      <c r="I52" s="23">
        <v>0</v>
      </c>
      <c r="J52" s="24">
        <v>0</v>
      </c>
      <c r="K52" s="20">
        <f>ROUND(1118784/(26*60+16),1)</f>
        <v>709.9</v>
      </c>
      <c r="L52" s="20">
        <f>ROUND(781280/(17*60+55.4),1)</f>
        <v>726.5</v>
      </c>
      <c r="M52" s="20">
        <f>ROUND(15139000/21423,1)</f>
        <v>706.7</v>
      </c>
      <c r="N52" s="19">
        <v>0</v>
      </c>
      <c r="O52" s="26">
        <v>0</v>
      </c>
      <c r="P52" s="37">
        <v>0</v>
      </c>
      <c r="Q52" s="37">
        <v>0</v>
      </c>
      <c r="R52" s="19">
        <v>0</v>
      </c>
      <c r="S52" s="37">
        <v>0</v>
      </c>
      <c r="T52" s="25"/>
      <c r="U52" s="25"/>
      <c r="V52" s="22">
        <f>SUM(D52:U52)-SUM(D52,E52,F52,I52,J52)</f>
        <v>3455.2</v>
      </c>
    </row>
    <row r="53" spans="1:22" s="12" customFormat="1" ht="11.25">
      <c r="A53" s="30" t="s">
        <v>72</v>
      </c>
      <c r="B53" s="23" t="s">
        <v>78</v>
      </c>
      <c r="C53" s="18">
        <v>1981</v>
      </c>
      <c r="D53" s="19">
        <f>ROUND(816178/(23*60+24),1)</f>
        <v>581.3</v>
      </c>
      <c r="E53" s="23">
        <v>0</v>
      </c>
      <c r="F53" s="23">
        <v>0</v>
      </c>
      <c r="G53" s="24">
        <v>0</v>
      </c>
      <c r="H53" s="24">
        <v>0</v>
      </c>
      <c r="I53" s="19">
        <f>ROUND(1640090/(41*60+55),1)</f>
        <v>652.1</v>
      </c>
      <c r="J53" s="21">
        <f>ROUND(1561990/(45*60+7),1)</f>
        <v>577</v>
      </c>
      <c r="K53" s="20">
        <f>ROUND(1082113/(26*60+22),1)</f>
        <v>684</v>
      </c>
      <c r="L53" s="19">
        <f>ROUND(755720/(18*60+20.4),1)</f>
        <v>686.8</v>
      </c>
      <c r="M53" s="24">
        <v>0</v>
      </c>
      <c r="N53" s="19">
        <v>0</v>
      </c>
      <c r="O53" s="37">
        <v>0</v>
      </c>
      <c r="P53" s="37">
        <v>0</v>
      </c>
      <c r="Q53" s="37">
        <v>0</v>
      </c>
      <c r="R53" s="37">
        <v>0</v>
      </c>
      <c r="S53" s="19">
        <v>0</v>
      </c>
      <c r="T53" s="25"/>
      <c r="U53" s="25"/>
      <c r="V53" s="22">
        <f>SUM(D53:U53)-SUM(E53,F53,G53,H53,M53)</f>
        <v>3181.2</v>
      </c>
    </row>
    <row r="54" spans="1:22" s="10" customFormat="1" ht="11.25">
      <c r="A54" s="30" t="s">
        <v>123</v>
      </c>
      <c r="B54" s="23" t="s">
        <v>171</v>
      </c>
      <c r="C54" s="27">
        <v>1993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6">
        <v>0</v>
      </c>
      <c r="J54" s="26">
        <v>0</v>
      </c>
      <c r="K54" s="26">
        <v>0</v>
      </c>
      <c r="L54" s="19">
        <f>ROUND(863690/(24*60+3.8),1)</f>
        <v>598.2</v>
      </c>
      <c r="M54" s="26">
        <v>0</v>
      </c>
      <c r="N54" s="25">
        <v>0</v>
      </c>
      <c r="O54" s="21">
        <f>ROUND(1705250/(52*60+19),1)</f>
        <v>543.2</v>
      </c>
      <c r="P54" s="20">
        <f>ROUND(552642/(13*60+42),1)</f>
        <v>672.3</v>
      </c>
      <c r="Q54" s="26">
        <v>0</v>
      </c>
      <c r="R54" s="21">
        <f>ROUND(571064/(13*60+30),1)</f>
        <v>705</v>
      </c>
      <c r="S54" s="25">
        <f>ROUND(3730000/(94*60+16),1)</f>
        <v>659.5</v>
      </c>
      <c r="T54" s="25"/>
      <c r="U54" s="25"/>
      <c r="V54" s="22">
        <f>SUM(D54:U54)-SUM(D54,E54,F54,G54,H54,I54)</f>
        <v>3178.2</v>
      </c>
    </row>
    <row r="55" spans="1:22" s="10" customFormat="1" ht="11.25">
      <c r="A55" s="30" t="s">
        <v>124</v>
      </c>
      <c r="B55" s="23" t="s">
        <v>173</v>
      </c>
      <c r="C55" s="27">
        <v>1968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25">
        <f>ROUND(468940/(11*60+48.2),1)</f>
        <v>662.2</v>
      </c>
      <c r="O55" s="21">
        <f>ROUND(1588448/(42*60+47),1)</f>
        <v>618.8</v>
      </c>
      <c r="P55" s="20">
        <f>ROUND(520319/(13*60+27),1)</f>
        <v>644.8</v>
      </c>
      <c r="Q55" s="21">
        <f>ROUND(1386618/(40*60+4),1)</f>
        <v>576.8</v>
      </c>
      <c r="R55" s="25">
        <v>0</v>
      </c>
      <c r="S55" s="25">
        <f>ROUND(3468450/(105*60+19),1)</f>
        <v>548.9</v>
      </c>
      <c r="T55" s="25"/>
      <c r="U55" s="25"/>
      <c r="V55" s="22">
        <f>SUM(D55:U55)-SUM(D55,E55,F55,G55,H55)</f>
        <v>3051.5</v>
      </c>
    </row>
    <row r="56" spans="1:22" s="10" customFormat="1" ht="11.25">
      <c r="A56" s="30" t="s">
        <v>125</v>
      </c>
      <c r="B56" s="23" t="s">
        <v>57</v>
      </c>
      <c r="C56" s="18">
        <v>1957</v>
      </c>
      <c r="D56" s="21">
        <f>ROUND(941285/(33*60+42.9),1)</f>
        <v>465.3</v>
      </c>
      <c r="E56" s="19">
        <f>ROUND(1391003/(45*60+31),1)</f>
        <v>509.3</v>
      </c>
      <c r="F56" s="19">
        <f>ROUND(871560/(25*60+38),1)</f>
        <v>566.7</v>
      </c>
      <c r="G56" s="20">
        <f>ROUND(784404/(26*60+40),1)</f>
        <v>490.3</v>
      </c>
      <c r="H56" s="24">
        <v>0</v>
      </c>
      <c r="I56" s="23">
        <v>0</v>
      </c>
      <c r="J56" s="24">
        <v>0</v>
      </c>
      <c r="K56" s="24">
        <v>0</v>
      </c>
      <c r="L56" s="23">
        <v>0</v>
      </c>
      <c r="M56" s="37">
        <v>0</v>
      </c>
      <c r="N56" s="19">
        <f>ROUND(505410/(14*60+2.6),1)</f>
        <v>599.8</v>
      </c>
      <c r="O56" s="26">
        <v>0</v>
      </c>
      <c r="P56" s="37">
        <v>0</v>
      </c>
      <c r="Q56" s="37">
        <v>0</v>
      </c>
      <c r="R56" s="19">
        <v>0</v>
      </c>
      <c r="S56" s="19">
        <v>0</v>
      </c>
      <c r="T56" s="25"/>
      <c r="U56" s="25"/>
      <c r="V56" s="22">
        <f>SUM(D56:U56)-SUM(H56,I56,J56,K56,L56)</f>
        <v>2631.4</v>
      </c>
    </row>
    <row r="57" spans="1:22" s="10" customFormat="1" ht="11.25">
      <c r="A57" s="30" t="s">
        <v>126</v>
      </c>
      <c r="B57" s="23" t="s">
        <v>66</v>
      </c>
      <c r="C57" s="18">
        <v>1964</v>
      </c>
      <c r="D57" s="19">
        <f>ROUND(905785/(30*60+34.4),1)</f>
        <v>493.8</v>
      </c>
      <c r="E57" s="23">
        <v>0</v>
      </c>
      <c r="F57" s="23">
        <v>0</v>
      </c>
      <c r="G57" s="36">
        <v>0</v>
      </c>
      <c r="H57" s="20">
        <f>ROUND(1734040/(60*60+57),1)</f>
        <v>474.2</v>
      </c>
      <c r="I57" s="19">
        <f>ROUND(1820742/(57*60+29),1)</f>
        <v>527.9</v>
      </c>
      <c r="J57" s="24">
        <v>0</v>
      </c>
      <c r="K57" s="24">
        <v>0</v>
      </c>
      <c r="L57" s="19">
        <v>0</v>
      </c>
      <c r="M57" s="37">
        <v>0</v>
      </c>
      <c r="N57" s="19">
        <v>0</v>
      </c>
      <c r="O57" s="26">
        <v>0</v>
      </c>
      <c r="P57" s="37">
        <v>0</v>
      </c>
      <c r="Q57" s="37">
        <v>0</v>
      </c>
      <c r="R57" s="19">
        <f>ROUND(557564/(16*60+55),1)</f>
        <v>549.3</v>
      </c>
      <c r="S57" s="20">
        <f>ROUND(3596510/(112*60+2),1)</f>
        <v>535</v>
      </c>
      <c r="T57" s="25"/>
      <c r="U57" s="21"/>
      <c r="V57" s="22">
        <f>SUM(D57:U57)-SUM(E57,F57,G57,J57,K57)</f>
        <v>2580.2</v>
      </c>
    </row>
    <row r="58" spans="1:22" s="10" customFormat="1" ht="11.25">
      <c r="A58" s="30" t="s">
        <v>127</v>
      </c>
      <c r="B58" s="23" t="s">
        <v>138</v>
      </c>
      <c r="C58" s="27">
        <v>1969</v>
      </c>
      <c r="D58" s="24">
        <v>0</v>
      </c>
      <c r="E58" s="24">
        <v>0</v>
      </c>
      <c r="F58" s="24">
        <v>0</v>
      </c>
      <c r="G58" s="20">
        <f>ROUND(727920/(20*60+39),1)</f>
        <v>587.5</v>
      </c>
      <c r="H58" s="24">
        <v>0</v>
      </c>
      <c r="I58" s="20">
        <f>ROUND(1755653/(46*60+48),1)</f>
        <v>625.2</v>
      </c>
      <c r="J58" s="24">
        <v>0</v>
      </c>
      <c r="K58" s="37">
        <v>0</v>
      </c>
      <c r="L58" s="19">
        <f>ROUND(808800/(20*60+38.2),1)</f>
        <v>653.2</v>
      </c>
      <c r="M58" s="37">
        <v>0</v>
      </c>
      <c r="N58" s="19">
        <v>0</v>
      </c>
      <c r="O58" s="26">
        <v>0</v>
      </c>
      <c r="P58" s="20">
        <f>ROUND(520319/(13*60+29),1)</f>
        <v>643.2</v>
      </c>
      <c r="Q58" s="37">
        <v>0</v>
      </c>
      <c r="R58" s="19">
        <v>0</v>
      </c>
      <c r="S58" s="19">
        <v>0</v>
      </c>
      <c r="T58" s="25"/>
      <c r="U58" s="25"/>
      <c r="V58" s="22">
        <f>SUM(D58:U58)-SUM(D58,E58,F58,H58,J58)</f>
        <v>2509.1000000000004</v>
      </c>
    </row>
    <row r="59" spans="1:22" s="10" customFormat="1" ht="11.25">
      <c r="A59" s="30" t="s">
        <v>128</v>
      </c>
      <c r="B59" s="23" t="s">
        <v>150</v>
      </c>
      <c r="C59" s="18">
        <v>1989</v>
      </c>
      <c r="D59" s="24">
        <v>0</v>
      </c>
      <c r="E59" s="24">
        <v>0</v>
      </c>
      <c r="F59" s="24">
        <v>0</v>
      </c>
      <c r="G59" s="24">
        <v>0</v>
      </c>
      <c r="H59" s="20">
        <f>ROUND(1795000/(57*60+25),1)</f>
        <v>521</v>
      </c>
      <c r="I59" s="23">
        <v>0</v>
      </c>
      <c r="J59" s="37">
        <v>0</v>
      </c>
      <c r="K59" s="20">
        <f>ROUND(1241625/(32*60+51),1)</f>
        <v>629.9</v>
      </c>
      <c r="L59" s="20">
        <f>ROUND(863690/(22*60+29.5),1)</f>
        <v>640</v>
      </c>
      <c r="M59" s="37">
        <v>0</v>
      </c>
      <c r="N59" s="19">
        <f>ROUND(498000/(12*60+20.5),1)</f>
        <v>672.5</v>
      </c>
      <c r="O59" s="37">
        <v>0</v>
      </c>
      <c r="P59" s="37">
        <v>0</v>
      </c>
      <c r="Q59" s="37">
        <v>0</v>
      </c>
      <c r="R59" s="19">
        <v>0</v>
      </c>
      <c r="S59" s="19">
        <v>0</v>
      </c>
      <c r="T59" s="25"/>
      <c r="U59" s="25"/>
      <c r="V59" s="22">
        <f>SUM(D59:U59)-SUM(D59,E59,F59,G59,I59)</f>
        <v>2463.4</v>
      </c>
    </row>
    <row r="60" spans="1:22" s="10" customFormat="1" ht="11.25">
      <c r="A60" s="30" t="s">
        <v>130</v>
      </c>
      <c r="B60" s="23" t="s">
        <v>133</v>
      </c>
      <c r="C60" s="27">
        <v>1957</v>
      </c>
      <c r="D60" s="24">
        <v>0</v>
      </c>
      <c r="E60" s="24">
        <v>0</v>
      </c>
      <c r="F60" s="19">
        <f>ROUND(871560/(25*60+20),1)</f>
        <v>573.4</v>
      </c>
      <c r="G60" s="24">
        <v>0</v>
      </c>
      <c r="H60" s="20">
        <f>ROUND(1802200/(54*60+39),1)</f>
        <v>549.6</v>
      </c>
      <c r="I60" s="23">
        <v>0</v>
      </c>
      <c r="J60" s="20">
        <f>ROUND(1802200/(62*60+4),1)</f>
        <v>483.9</v>
      </c>
      <c r="K60" s="24">
        <v>0</v>
      </c>
      <c r="L60" s="19">
        <f>ROUND(871560/(22*60+1.5),1)</f>
        <v>659.5</v>
      </c>
      <c r="M60" s="37">
        <v>0</v>
      </c>
      <c r="N60" s="19">
        <v>0</v>
      </c>
      <c r="O60" s="26">
        <v>0</v>
      </c>
      <c r="P60" s="37">
        <v>0</v>
      </c>
      <c r="Q60" s="37">
        <v>0</v>
      </c>
      <c r="R60" s="19">
        <v>0</v>
      </c>
      <c r="S60" s="19">
        <v>0</v>
      </c>
      <c r="T60" s="25"/>
      <c r="U60" s="25"/>
      <c r="V60" s="22">
        <f>SUM(D60:U60)-SUM(D60,E60,G60,I60,K60)</f>
        <v>2266.4</v>
      </c>
    </row>
    <row r="61" spans="1:22" s="10" customFormat="1" ht="11.25">
      <c r="A61" s="30" t="s">
        <v>134</v>
      </c>
      <c r="B61" s="23" t="s">
        <v>61</v>
      </c>
      <c r="C61" s="18">
        <v>1950</v>
      </c>
      <c r="D61" s="25">
        <f>ROUND(1026076/(32*60+32.7),1)</f>
        <v>525.5</v>
      </c>
      <c r="E61" s="19">
        <f>ROUND(1516535/(45*60+30),1)</f>
        <v>555.5</v>
      </c>
      <c r="F61" s="19">
        <f>ROUND(950070/(28*60+26),1)</f>
        <v>556.9</v>
      </c>
      <c r="G61" s="24">
        <v>0</v>
      </c>
      <c r="H61" s="24">
        <v>0</v>
      </c>
      <c r="I61" s="23">
        <v>0</v>
      </c>
      <c r="J61" s="24">
        <v>0</v>
      </c>
      <c r="K61" s="24">
        <v>0</v>
      </c>
      <c r="L61" s="19">
        <v>0</v>
      </c>
      <c r="M61" s="37">
        <v>0</v>
      </c>
      <c r="N61" s="19">
        <v>0</v>
      </c>
      <c r="O61" s="21">
        <f>ROUND(1866760/(53*60+36),1)</f>
        <v>580.5</v>
      </c>
      <c r="P61" s="40">
        <v>0</v>
      </c>
      <c r="Q61" s="37">
        <v>0</v>
      </c>
      <c r="R61" s="19">
        <v>0</v>
      </c>
      <c r="S61" s="19">
        <v>0</v>
      </c>
      <c r="T61" s="25"/>
      <c r="U61" s="25"/>
      <c r="V61" s="22">
        <f>SUM(D61:U61)-SUM(G61,H61,I61,J61,K61)</f>
        <v>2218.4</v>
      </c>
    </row>
    <row r="62" spans="1:22" s="10" customFormat="1" ht="11.25">
      <c r="A62" s="30" t="s">
        <v>135</v>
      </c>
      <c r="B62" s="23" t="s">
        <v>168</v>
      </c>
      <c r="C62" s="18">
        <v>1956</v>
      </c>
      <c r="D62" s="19">
        <f>ROUND(980932/(32*60+52.6),1)</f>
        <v>497.3</v>
      </c>
      <c r="E62" s="23">
        <v>0</v>
      </c>
      <c r="F62" s="23">
        <v>0</v>
      </c>
      <c r="G62" s="36">
        <v>0</v>
      </c>
      <c r="H62" s="24">
        <v>0</v>
      </c>
      <c r="I62" s="23">
        <v>0</v>
      </c>
      <c r="J62" s="20">
        <f>ROUND(1878340/(62*60+4),1)</f>
        <v>504.4</v>
      </c>
      <c r="K62" s="37">
        <v>0</v>
      </c>
      <c r="L62" s="19">
        <v>0</v>
      </c>
      <c r="M62" s="37">
        <v>0</v>
      </c>
      <c r="N62" s="19">
        <v>0</v>
      </c>
      <c r="O62" s="21">
        <f>ROUND(1784423/(51*60+23),1)</f>
        <v>578.8</v>
      </c>
      <c r="P62" s="37">
        <v>0</v>
      </c>
      <c r="Q62" s="20">
        <f>ROUND(1557517/(47*60+16),1)</f>
        <v>549.2</v>
      </c>
      <c r="R62" s="37">
        <v>0</v>
      </c>
      <c r="S62" s="19">
        <v>0</v>
      </c>
      <c r="T62" s="25"/>
      <c r="U62" s="25"/>
      <c r="V62" s="22">
        <f>SUM(D62:U62)-SUM(E62,F62,G62,H62,I62)</f>
        <v>2129.7</v>
      </c>
    </row>
    <row r="63" spans="1:22" s="10" customFormat="1" ht="11.25">
      <c r="A63" s="30" t="s">
        <v>136</v>
      </c>
      <c r="B63" s="23" t="s">
        <v>117</v>
      </c>
      <c r="C63" s="27">
        <v>1960</v>
      </c>
      <c r="D63" s="24">
        <v>0</v>
      </c>
      <c r="E63" s="20">
        <f>ROUND(1391003/(32*60+20),1)</f>
        <v>717</v>
      </c>
      <c r="F63" s="19">
        <f>ROUND(871560/(21*60+2),1)</f>
        <v>690.6</v>
      </c>
      <c r="G63" s="20">
        <f>ROUND(784404/(18*60+36),1)</f>
        <v>702.9</v>
      </c>
      <c r="H63" s="24">
        <v>0</v>
      </c>
      <c r="I63" s="23">
        <v>0</v>
      </c>
      <c r="J63" s="24">
        <v>0</v>
      </c>
      <c r="K63" s="24">
        <v>0</v>
      </c>
      <c r="L63" s="19">
        <v>0</v>
      </c>
      <c r="M63" s="37">
        <v>0</v>
      </c>
      <c r="N63" s="19">
        <v>0</v>
      </c>
      <c r="O63" s="26">
        <v>0</v>
      </c>
      <c r="P63" s="37">
        <v>0</v>
      </c>
      <c r="Q63" s="37">
        <v>0</v>
      </c>
      <c r="R63" s="45">
        <v>0</v>
      </c>
      <c r="S63" s="19">
        <v>0</v>
      </c>
      <c r="T63" s="25"/>
      <c r="U63" s="25"/>
      <c r="V63" s="22">
        <f>SUM(D63:U63)-SUM(D63,H63,I63,J63,K63)</f>
        <v>2110.5</v>
      </c>
    </row>
    <row r="64" spans="1:22" s="10" customFormat="1" ht="11.25">
      <c r="A64" s="30" t="s">
        <v>141</v>
      </c>
      <c r="B64" s="33" t="s">
        <v>84</v>
      </c>
      <c r="C64" s="27">
        <v>1959</v>
      </c>
      <c r="D64" s="20">
        <f>ROUND(941285/(31*60+41.2),1)</f>
        <v>495.1</v>
      </c>
      <c r="E64" s="21">
        <f>ROUND(1391003/(46*60+50),1)</f>
        <v>495</v>
      </c>
      <c r="F64" s="23">
        <v>0</v>
      </c>
      <c r="G64" s="24">
        <v>0</v>
      </c>
      <c r="H64" s="20">
        <f>ROUND(1802200/(57*60+23),1)</f>
        <v>523.4</v>
      </c>
      <c r="I64" s="19">
        <f>ROUND(1892310/(56*60+35),1)</f>
        <v>557.4</v>
      </c>
      <c r="J64" s="24">
        <v>0</v>
      </c>
      <c r="K64" s="24">
        <v>0</v>
      </c>
      <c r="L64" s="23">
        <v>0</v>
      </c>
      <c r="M64" s="37">
        <v>0</v>
      </c>
      <c r="N64" s="19">
        <v>0</v>
      </c>
      <c r="O64" s="26">
        <v>0</v>
      </c>
      <c r="P64" s="37">
        <v>0</v>
      </c>
      <c r="Q64" s="37">
        <v>0</v>
      </c>
      <c r="R64" s="19">
        <v>0</v>
      </c>
      <c r="S64" s="19">
        <v>0</v>
      </c>
      <c r="T64" s="21"/>
      <c r="U64" s="25"/>
      <c r="V64" s="22">
        <f>SUM(D64:U64)-SUM(F64,G64,J64,K64,L64)</f>
        <v>2070.9</v>
      </c>
    </row>
    <row r="65" spans="1:22" s="10" customFormat="1" ht="11.25">
      <c r="A65" s="30" t="s">
        <v>143</v>
      </c>
      <c r="B65" s="23" t="s">
        <v>149</v>
      </c>
      <c r="C65" s="27">
        <v>1985</v>
      </c>
      <c r="D65" s="24">
        <v>0</v>
      </c>
      <c r="E65" s="24">
        <v>0</v>
      </c>
      <c r="F65" s="24">
        <v>0</v>
      </c>
      <c r="G65" s="24">
        <v>0</v>
      </c>
      <c r="H65" s="20">
        <f>ROUND(1795000/(50*60+49),1)</f>
        <v>588.7</v>
      </c>
      <c r="I65" s="19">
        <f>ROUND(1884750/(49*60+46),1)</f>
        <v>631.2</v>
      </c>
      <c r="J65" s="24">
        <v>0</v>
      </c>
      <c r="K65" s="20">
        <f>ROUND(1241625/(30*60+55),1)</f>
        <v>669.3</v>
      </c>
      <c r="L65" s="19">
        <v>0</v>
      </c>
      <c r="M65" s="37">
        <v>0</v>
      </c>
      <c r="N65" s="19">
        <v>0</v>
      </c>
      <c r="O65" s="37">
        <v>0</v>
      </c>
      <c r="P65" s="37">
        <v>0</v>
      </c>
      <c r="Q65" s="37">
        <v>0</v>
      </c>
      <c r="R65" s="19">
        <v>0</v>
      </c>
      <c r="S65" s="19">
        <v>0</v>
      </c>
      <c r="T65" s="25"/>
      <c r="U65" s="25"/>
      <c r="V65" s="22">
        <f>SUM(D65:U65)-SUM(D65,E65,F65,G65,J65)</f>
        <v>1889.2</v>
      </c>
    </row>
    <row r="66" spans="1:22" s="10" customFormat="1" ht="11.25">
      <c r="A66" s="30" t="s">
        <v>145</v>
      </c>
      <c r="B66" s="23" t="s">
        <v>215</v>
      </c>
      <c r="C66" s="27">
        <v>1994</v>
      </c>
      <c r="D66" s="24">
        <v>0</v>
      </c>
      <c r="E66" s="24">
        <v>0</v>
      </c>
      <c r="F66" s="25">
        <f>ROUND(778390/(18*60+48),1)</f>
        <v>690.1</v>
      </c>
      <c r="G66" s="24">
        <v>0</v>
      </c>
      <c r="H66" s="24">
        <v>0</v>
      </c>
      <c r="I66" s="23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40">
        <v>0</v>
      </c>
      <c r="Q66" s="37">
        <v>0</v>
      </c>
      <c r="R66" s="19">
        <f>ROUND(515188/(11*60+52),1)</f>
        <v>723.6</v>
      </c>
      <c r="S66" s="19">
        <v>0</v>
      </c>
      <c r="T66" s="25"/>
      <c r="U66" s="25"/>
      <c r="V66" s="22">
        <f>SUM(D66:U66)-SUM(D66,E66,G66,H66,I66)</f>
        <v>1413.7</v>
      </c>
    </row>
    <row r="67" spans="1:22" s="10" customFormat="1" ht="11.25">
      <c r="A67" s="30" t="s">
        <v>146</v>
      </c>
      <c r="B67" s="23" t="s">
        <v>175</v>
      </c>
      <c r="C67" s="27">
        <v>1988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20">
        <f>ROUND(498569/(12*60+30),1)</f>
        <v>664.8</v>
      </c>
      <c r="Q67" s="37">
        <v>0</v>
      </c>
      <c r="R67" s="19">
        <f>ROUND(515188/(12*60+3),1)</f>
        <v>712.6</v>
      </c>
      <c r="S67" s="19">
        <v>0</v>
      </c>
      <c r="T67" s="25"/>
      <c r="U67" s="25"/>
      <c r="V67" s="22">
        <f>SUM(D67:U67)-SUM(D67,E67,F67,G67,H67)</f>
        <v>1377.4</v>
      </c>
    </row>
    <row r="68" spans="1:22" s="10" customFormat="1" ht="11.25">
      <c r="A68" s="30" t="s">
        <v>147</v>
      </c>
      <c r="B68" s="23" t="s">
        <v>118</v>
      </c>
      <c r="C68" s="27">
        <v>1987</v>
      </c>
      <c r="D68" s="24">
        <v>0</v>
      </c>
      <c r="E68" s="20">
        <f>ROUND(1246898/(30*60+10),1)</f>
        <v>688.9</v>
      </c>
      <c r="F68" s="23">
        <v>0</v>
      </c>
      <c r="G68" s="24">
        <v>0</v>
      </c>
      <c r="H68" s="20">
        <f>ROUND(1618380/(41*60+6),1)</f>
        <v>656.3</v>
      </c>
      <c r="I68" s="23">
        <v>0</v>
      </c>
      <c r="J68" s="24">
        <v>0</v>
      </c>
      <c r="K68" s="37">
        <v>0</v>
      </c>
      <c r="L68" s="19">
        <v>0</v>
      </c>
      <c r="M68" s="37">
        <v>0</v>
      </c>
      <c r="N68" s="19">
        <v>0</v>
      </c>
      <c r="O68" s="26">
        <v>0</v>
      </c>
      <c r="P68" s="37">
        <v>0</v>
      </c>
      <c r="Q68" s="37">
        <v>0</v>
      </c>
      <c r="R68" s="45">
        <v>0</v>
      </c>
      <c r="S68" s="19">
        <v>0</v>
      </c>
      <c r="T68" s="25"/>
      <c r="U68" s="25"/>
      <c r="V68" s="22">
        <f>SUM(D68:U68)-SUM(D68,F68,G68,I68,J68)</f>
        <v>1345.1999999999998</v>
      </c>
    </row>
    <row r="69" spans="1:22" s="10" customFormat="1" ht="11.25">
      <c r="A69" s="30" t="s">
        <v>148</v>
      </c>
      <c r="B69" s="23" t="s">
        <v>187</v>
      </c>
      <c r="C69" s="27">
        <v>1973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20">
        <f>ROUND(1339344/(35*60+37),1)</f>
        <v>626.7</v>
      </c>
      <c r="R69" s="19">
        <f>ROUND(519342/(12*60+53),1)</f>
        <v>671.9</v>
      </c>
      <c r="S69" s="37">
        <v>0</v>
      </c>
      <c r="T69" s="25"/>
      <c r="U69" s="25"/>
      <c r="V69" s="22">
        <f>SUM(D69:U69)-SUM(E69,F69,G69,H69,I69)</f>
        <v>1298.6</v>
      </c>
    </row>
    <row r="70" spans="1:22" s="10" customFormat="1" ht="11.25">
      <c r="A70" s="30" t="s">
        <v>155</v>
      </c>
      <c r="B70" s="23" t="s">
        <v>129</v>
      </c>
      <c r="C70" s="27">
        <v>1963</v>
      </c>
      <c r="D70" s="24">
        <v>0</v>
      </c>
      <c r="E70" s="19">
        <f>ROUND(1338451/(54*60+58),1)</f>
        <v>405.8</v>
      </c>
      <c r="F70" s="23">
        <v>0</v>
      </c>
      <c r="G70" s="24">
        <v>0</v>
      </c>
      <c r="H70" s="20">
        <f>ROUND(1734040/(69*60+3),1)</f>
        <v>418.5</v>
      </c>
      <c r="I70" s="23">
        <v>0</v>
      </c>
      <c r="J70" s="24">
        <v>0</v>
      </c>
      <c r="K70" s="20">
        <f>ROUND(1201174/(42*60+17),1)</f>
        <v>473.5</v>
      </c>
      <c r="L70" s="19">
        <v>0</v>
      </c>
      <c r="M70" s="37">
        <v>0</v>
      </c>
      <c r="N70" s="19">
        <v>0</v>
      </c>
      <c r="O70" s="26">
        <v>0</v>
      </c>
      <c r="P70" s="37">
        <v>0</v>
      </c>
      <c r="Q70" s="37">
        <v>0</v>
      </c>
      <c r="R70" s="19">
        <v>0</v>
      </c>
      <c r="S70" s="19">
        <v>0</v>
      </c>
      <c r="T70" s="25"/>
      <c r="U70" s="25"/>
      <c r="V70" s="22">
        <f>SUM(D70:U70)-SUM(D70,F70,G70,I70,J70)</f>
        <v>1297.8</v>
      </c>
    </row>
    <row r="71" spans="1:22" s="10" customFormat="1" ht="11.25">
      <c r="A71" s="30" t="s">
        <v>156</v>
      </c>
      <c r="B71" s="23" t="s">
        <v>139</v>
      </c>
      <c r="C71" s="27">
        <v>1982</v>
      </c>
      <c r="D71" s="24">
        <v>0</v>
      </c>
      <c r="E71" s="24">
        <v>0</v>
      </c>
      <c r="F71" s="24">
        <v>0</v>
      </c>
      <c r="G71" s="20">
        <f>ROUND(700551/(20*60+8),1)</f>
        <v>579.9</v>
      </c>
      <c r="H71" s="24">
        <v>0</v>
      </c>
      <c r="I71" s="19">
        <f>ROUND(1699299/(46*60+45),1)</f>
        <v>605.8</v>
      </c>
      <c r="J71" s="24">
        <v>0</v>
      </c>
      <c r="K71" s="37">
        <v>0</v>
      </c>
      <c r="L71" s="19">
        <v>0</v>
      </c>
      <c r="M71" s="37">
        <v>0</v>
      </c>
      <c r="N71" s="19">
        <v>0</v>
      </c>
      <c r="O71" s="26">
        <v>0</v>
      </c>
      <c r="P71" s="37">
        <v>0</v>
      </c>
      <c r="Q71" s="37">
        <v>0</v>
      </c>
      <c r="R71" s="19">
        <v>0</v>
      </c>
      <c r="S71" s="19">
        <v>0</v>
      </c>
      <c r="T71" s="25"/>
      <c r="U71" s="25"/>
      <c r="V71" s="22">
        <f>SUM(D71:U71)-SUM(D71,E71,F71,H71,J71)</f>
        <v>1185.6999999999998</v>
      </c>
    </row>
    <row r="72" spans="1:22" s="10" customFormat="1" ht="11.25">
      <c r="A72" s="30" t="s">
        <v>157</v>
      </c>
      <c r="B72" s="23" t="s">
        <v>151</v>
      </c>
      <c r="C72" s="18">
        <v>1984</v>
      </c>
      <c r="D72" s="24">
        <v>0</v>
      </c>
      <c r="E72" s="24">
        <v>0</v>
      </c>
      <c r="F72" s="24">
        <v>0</v>
      </c>
      <c r="G72" s="24">
        <v>0</v>
      </c>
      <c r="H72" s="20">
        <f>ROUND(1618380/(52*60+6),1)</f>
        <v>517.7</v>
      </c>
      <c r="I72" s="19">
        <f>ROUND(1699299/(49*60+14),1)</f>
        <v>575.3</v>
      </c>
      <c r="J72" s="24">
        <v>0</v>
      </c>
      <c r="K72" s="37">
        <v>0</v>
      </c>
      <c r="L72" s="19">
        <v>0</v>
      </c>
      <c r="M72" s="37">
        <v>0</v>
      </c>
      <c r="N72" s="19">
        <v>0</v>
      </c>
      <c r="O72" s="26">
        <v>0</v>
      </c>
      <c r="P72" s="37">
        <v>0</v>
      </c>
      <c r="Q72" s="37">
        <v>0</v>
      </c>
      <c r="R72" s="19">
        <v>0</v>
      </c>
      <c r="S72" s="19">
        <v>0</v>
      </c>
      <c r="T72" s="25"/>
      <c r="U72" s="25"/>
      <c r="V72" s="22">
        <f>SUM(D72:U72)-SUM(D72,E72,F72,G72,J72)</f>
        <v>1093</v>
      </c>
    </row>
    <row r="73" spans="1:22" s="10" customFormat="1" ht="11.25">
      <c r="A73" s="30" t="s">
        <v>158</v>
      </c>
      <c r="B73" s="23" t="s">
        <v>196</v>
      </c>
      <c r="C73" s="27">
        <v>1993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20">
        <f>ROUND(1339616/(46*60+4),1)</f>
        <v>484.7</v>
      </c>
      <c r="R73" s="19">
        <f>ROUND(515188/(15*60+17),1)</f>
        <v>561.8</v>
      </c>
      <c r="S73" s="19">
        <v>0</v>
      </c>
      <c r="T73" s="25"/>
      <c r="U73" s="25"/>
      <c r="V73" s="22">
        <f>SUM(D73:U73)-SUM(E73,F73,G73,H73,I73)</f>
        <v>1046.5</v>
      </c>
    </row>
    <row r="74" spans="1:22" s="10" customFormat="1" ht="11.25">
      <c r="A74" s="30" t="s">
        <v>160</v>
      </c>
      <c r="B74" s="23" t="s">
        <v>140</v>
      </c>
      <c r="C74" s="27">
        <v>1943</v>
      </c>
      <c r="D74" s="24">
        <v>0</v>
      </c>
      <c r="E74" s="24">
        <v>0</v>
      </c>
      <c r="F74" s="24">
        <v>0</v>
      </c>
      <c r="G74" s="20">
        <f>ROUND(898830/(31*60+38),1)</f>
        <v>473.6</v>
      </c>
      <c r="H74" s="24">
        <v>0</v>
      </c>
      <c r="I74" s="23">
        <v>0</v>
      </c>
      <c r="J74" s="20">
        <f>ROUND(2065840/(74*60+32),1)</f>
        <v>461.9</v>
      </c>
      <c r="K74" s="37">
        <v>0</v>
      </c>
      <c r="L74" s="19">
        <v>0</v>
      </c>
      <c r="M74" s="37">
        <v>0</v>
      </c>
      <c r="N74" s="19">
        <v>0</v>
      </c>
      <c r="O74" s="26">
        <v>0</v>
      </c>
      <c r="P74" s="37">
        <v>0</v>
      </c>
      <c r="Q74" s="37">
        <v>0</v>
      </c>
      <c r="R74" s="19">
        <v>0</v>
      </c>
      <c r="S74" s="19">
        <v>0</v>
      </c>
      <c r="T74" s="25"/>
      <c r="U74" s="25"/>
      <c r="V74" s="22">
        <f>SUM(D74:U74)-SUM(D74,E74,F74,H74,I74)</f>
        <v>935.5</v>
      </c>
    </row>
    <row r="75" spans="1:22" s="10" customFormat="1" ht="11.25">
      <c r="A75" s="30" t="s">
        <v>161</v>
      </c>
      <c r="B75" s="23" t="s">
        <v>210</v>
      </c>
      <c r="C75" s="23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20">
        <f>ROUND(1486403/(67*60+57),1)</f>
        <v>364.6</v>
      </c>
      <c r="R75" s="45">
        <f>ROUND(571064/(18*60+30),1)</f>
        <v>514.5</v>
      </c>
      <c r="S75" s="19">
        <v>0</v>
      </c>
      <c r="T75" s="25"/>
      <c r="U75" s="25"/>
      <c r="V75" s="22">
        <f>SUM(D75:U75)-SUM(E75,F75,G75,H75,I75)</f>
        <v>879.1</v>
      </c>
    </row>
    <row r="76" spans="1:22" s="10" customFormat="1" ht="11.25">
      <c r="A76" s="30" t="s">
        <v>162</v>
      </c>
      <c r="B76" s="23" t="s">
        <v>212</v>
      </c>
      <c r="C76" s="27">
        <v>1994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20">
        <f>ROUND(1339616/(67*60+57),1)</f>
        <v>328.6</v>
      </c>
      <c r="R76" s="19">
        <f>ROUND(515188/(18*60+31),1)</f>
        <v>463.7</v>
      </c>
      <c r="S76" s="19">
        <v>0</v>
      </c>
      <c r="T76" s="25"/>
      <c r="U76" s="25"/>
      <c r="V76" s="22">
        <f>SUM(D76:U76)-SUM(E76,F76,G76,H76,I76)</f>
        <v>792.3</v>
      </c>
    </row>
    <row r="77" spans="1:22" s="10" customFormat="1" ht="11.25">
      <c r="A77" s="30" t="s">
        <v>165</v>
      </c>
      <c r="B77" s="23" t="s">
        <v>131</v>
      </c>
      <c r="C77" s="27">
        <v>1986</v>
      </c>
      <c r="D77" s="24">
        <v>0</v>
      </c>
      <c r="E77" s="24">
        <v>0</v>
      </c>
      <c r="F77" s="25">
        <f>ROUND(778390/(17*60+42),1)</f>
        <v>732.9</v>
      </c>
      <c r="G77" s="24">
        <v>0</v>
      </c>
      <c r="H77" s="24">
        <v>0</v>
      </c>
      <c r="I77" s="23">
        <v>0</v>
      </c>
      <c r="J77" s="26">
        <v>0</v>
      </c>
      <c r="K77" s="26">
        <v>0</v>
      </c>
      <c r="L77" s="25">
        <v>0</v>
      </c>
      <c r="M77" s="26">
        <v>0</v>
      </c>
      <c r="N77" s="25">
        <v>0</v>
      </c>
      <c r="O77" s="26">
        <v>0</v>
      </c>
      <c r="P77" s="37">
        <v>0</v>
      </c>
      <c r="Q77" s="26">
        <v>0</v>
      </c>
      <c r="R77" s="25">
        <v>0</v>
      </c>
      <c r="S77" s="25">
        <v>0</v>
      </c>
      <c r="T77" s="25"/>
      <c r="U77" s="25"/>
      <c r="V77" s="22">
        <f>SUM(D77:U77)-SUM(D77,E77,G77,H77,I77,J77)</f>
        <v>732.9</v>
      </c>
    </row>
    <row r="78" spans="1:22" s="10" customFormat="1" ht="11.25">
      <c r="A78" s="30" t="s">
        <v>166</v>
      </c>
      <c r="B78" s="23" t="s">
        <v>82</v>
      </c>
      <c r="C78" s="18">
        <v>1984</v>
      </c>
      <c r="D78" s="19">
        <f>ROUND(840661/(38*60+26.4),1)</f>
        <v>364.5</v>
      </c>
      <c r="E78" s="24">
        <v>0</v>
      </c>
      <c r="F78" s="23">
        <v>0</v>
      </c>
      <c r="G78" s="24">
        <v>0</v>
      </c>
      <c r="H78" s="24">
        <v>0</v>
      </c>
      <c r="I78" s="23">
        <v>0</v>
      </c>
      <c r="J78" s="20">
        <f>ROUND(1618380/(73*60+31),1)</f>
        <v>366.9</v>
      </c>
      <c r="K78" s="37">
        <v>0</v>
      </c>
      <c r="L78" s="19">
        <v>0</v>
      </c>
      <c r="M78" s="37">
        <v>0</v>
      </c>
      <c r="N78" s="19">
        <v>0</v>
      </c>
      <c r="O78" s="26">
        <v>0</v>
      </c>
      <c r="P78" s="37">
        <v>0</v>
      </c>
      <c r="Q78" s="37">
        <v>0</v>
      </c>
      <c r="R78" s="19">
        <v>0</v>
      </c>
      <c r="S78" s="19">
        <v>0</v>
      </c>
      <c r="T78" s="25"/>
      <c r="U78" s="25"/>
      <c r="V78" s="22">
        <f>SUM(D78:U78)-SUM(E78,F78,G78,H78,I78)</f>
        <v>731.4</v>
      </c>
    </row>
    <row r="79" spans="1:22" s="10" customFormat="1" ht="11.25">
      <c r="A79" s="30" t="s">
        <v>170</v>
      </c>
      <c r="B79" s="23" t="s">
        <v>219</v>
      </c>
      <c r="C79" s="27">
        <v>1964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25">
        <v>0</v>
      </c>
      <c r="R79" s="25">
        <v>0</v>
      </c>
      <c r="S79" s="19">
        <f>ROUND(3596510/(82*60+26),1)</f>
        <v>727.2</v>
      </c>
      <c r="T79" s="23"/>
      <c r="U79" s="23"/>
      <c r="V79" s="22">
        <f>SUM(D79:U79)-SUM(E79,F79,G79,H79,I79)</f>
        <v>727.2</v>
      </c>
    </row>
    <row r="80" spans="1:22" s="10" customFormat="1" ht="11.25">
      <c r="A80" s="30" t="s">
        <v>172</v>
      </c>
      <c r="B80" s="23" t="s">
        <v>119</v>
      </c>
      <c r="C80" s="27">
        <v>1973</v>
      </c>
      <c r="D80" s="24">
        <v>0</v>
      </c>
      <c r="E80" s="19">
        <f>ROUND(1246645/(30*60+27),1)</f>
        <v>682.3</v>
      </c>
      <c r="F80" s="23">
        <v>0</v>
      </c>
      <c r="G80" s="24">
        <v>0</v>
      </c>
      <c r="H80" s="24">
        <v>0</v>
      </c>
      <c r="I80" s="23">
        <v>0</v>
      </c>
      <c r="J80" s="26">
        <v>0</v>
      </c>
      <c r="K80" s="37">
        <v>0</v>
      </c>
      <c r="L80" s="19">
        <v>0</v>
      </c>
      <c r="M80" s="37">
        <v>0</v>
      </c>
      <c r="N80" s="19">
        <v>0</v>
      </c>
      <c r="O80" s="26">
        <v>0</v>
      </c>
      <c r="P80" s="37">
        <v>0</v>
      </c>
      <c r="Q80" s="37">
        <v>0</v>
      </c>
      <c r="R80" s="19">
        <v>0</v>
      </c>
      <c r="S80" s="37">
        <v>0</v>
      </c>
      <c r="T80" s="25"/>
      <c r="U80" s="25"/>
      <c r="V80" s="22">
        <f>SUM(D80:U80)-SUM(D80,F80,G80,H80,I80,J80)</f>
        <v>682.3</v>
      </c>
    </row>
    <row r="81" spans="1:22" s="10" customFormat="1" ht="11.25">
      <c r="A81" s="30" t="s">
        <v>174</v>
      </c>
      <c r="B81" s="23" t="s">
        <v>186</v>
      </c>
      <c r="C81" s="27">
        <v>1972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20">
        <f>ROUND(1339344/(33*60+32),1)</f>
        <v>665.7</v>
      </c>
      <c r="R81" s="45">
        <v>0</v>
      </c>
      <c r="S81" s="37">
        <v>0</v>
      </c>
      <c r="T81" s="25"/>
      <c r="U81" s="25"/>
      <c r="V81" s="22">
        <f>SUM(D81:U81)-SUM(E81,F81,G81,H81,I81)</f>
        <v>665.7</v>
      </c>
    </row>
    <row r="82" spans="1:22" s="10" customFormat="1" ht="11.25">
      <c r="A82" s="30" t="s">
        <v>180</v>
      </c>
      <c r="B82" s="23" t="s">
        <v>176</v>
      </c>
      <c r="C82" s="27">
        <v>1989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20">
        <f>ROUND(552642/(14*60+44),1)</f>
        <v>625.2</v>
      </c>
      <c r="Q82" s="37">
        <v>0</v>
      </c>
      <c r="R82" s="19">
        <v>0</v>
      </c>
      <c r="S82" s="19">
        <v>0</v>
      </c>
      <c r="T82" s="25"/>
      <c r="U82" s="25"/>
      <c r="V82" s="22">
        <f>SUM(D82:U82)-SUM(D82,E82,F82,G82,H82)</f>
        <v>625.2</v>
      </c>
    </row>
    <row r="83" spans="1:22" s="10" customFormat="1" ht="11.25">
      <c r="A83" s="30" t="s">
        <v>181</v>
      </c>
      <c r="B83" s="23" t="s">
        <v>188</v>
      </c>
      <c r="C83" s="27">
        <v>1989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20">
        <f>ROUND(1339616/(36*60+47),1)</f>
        <v>607</v>
      </c>
      <c r="R83" s="19">
        <v>0</v>
      </c>
      <c r="S83" s="19">
        <v>0</v>
      </c>
      <c r="T83" s="25"/>
      <c r="U83" s="25"/>
      <c r="V83" s="22">
        <f>SUM(D83:U83)-SUM(E83,F83,G83,H83,I83)</f>
        <v>607</v>
      </c>
    </row>
    <row r="84" spans="1:22" s="10" customFormat="1" ht="11.25">
      <c r="A84" s="30" t="s">
        <v>182</v>
      </c>
      <c r="B84" s="23" t="s">
        <v>216</v>
      </c>
      <c r="C84" s="27">
        <v>1983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19">
        <f>ROUND(515188/(14*60+10),1)</f>
        <v>606.1</v>
      </c>
      <c r="S84" s="19">
        <v>0</v>
      </c>
      <c r="T84" s="25"/>
      <c r="U84" s="25"/>
      <c r="V84" s="22">
        <f>SUM(D84:U84)-SUM(D84,E84,F84,G84,H84)</f>
        <v>606.1</v>
      </c>
    </row>
    <row r="85" spans="1:22" s="10" customFormat="1" ht="11.25">
      <c r="A85" s="30" t="s">
        <v>183</v>
      </c>
      <c r="B85" s="23" t="s">
        <v>189</v>
      </c>
      <c r="C85" s="27">
        <v>1998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20">
        <f>ROUND(1486403/(41*60+24),1)</f>
        <v>598.4</v>
      </c>
      <c r="R85" s="19">
        <v>0</v>
      </c>
      <c r="S85" s="19">
        <v>0</v>
      </c>
      <c r="T85" s="25"/>
      <c r="U85" s="25"/>
      <c r="V85" s="22">
        <f>SUM(D85:U85)-SUM(E85,F85,G85,H85,I85)</f>
        <v>598.4</v>
      </c>
    </row>
    <row r="86" spans="1:22" s="10" customFormat="1" ht="11.25">
      <c r="A86" s="30" t="s">
        <v>184</v>
      </c>
      <c r="B86" s="23" t="s">
        <v>190</v>
      </c>
      <c r="C86" s="27">
        <v>1955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20">
        <f>ROUND(1557517/(45*60+45),1)</f>
        <v>567.4</v>
      </c>
      <c r="R86" s="37">
        <v>0</v>
      </c>
      <c r="S86" s="19">
        <v>0</v>
      </c>
      <c r="T86" s="25"/>
      <c r="U86" s="25"/>
      <c r="V86" s="22">
        <f>SUM(D86:U86)-SUM(E86,F86,G86,H86,I86)</f>
        <v>567.4</v>
      </c>
    </row>
    <row r="87" spans="1:22" s="10" customFormat="1" ht="11.25">
      <c r="A87" s="30" t="s">
        <v>194</v>
      </c>
      <c r="B87" s="23" t="s">
        <v>191</v>
      </c>
      <c r="C87" s="27">
        <v>1999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20">
        <f>ROUND(1339616/(40*60+13),1)</f>
        <v>555.2</v>
      </c>
      <c r="R87" s="19">
        <v>0</v>
      </c>
      <c r="S87" s="19">
        <v>0</v>
      </c>
      <c r="T87" s="25"/>
      <c r="U87" s="25"/>
      <c r="V87" s="22">
        <f>SUM(D87:U87)-SUM(E87,F87,G87,H87,I87)</f>
        <v>555.2</v>
      </c>
    </row>
    <row r="88" spans="1:22" s="10" customFormat="1" ht="11.25">
      <c r="A88" s="42" t="s">
        <v>195</v>
      </c>
      <c r="B88" s="23" t="s">
        <v>192</v>
      </c>
      <c r="C88" s="27">
        <v>1995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21">
        <f>ROUND(1339616/(42*60+4),1)</f>
        <v>530.8</v>
      </c>
      <c r="R88" s="25">
        <v>0</v>
      </c>
      <c r="S88" s="25">
        <v>0</v>
      </c>
      <c r="T88" s="25"/>
      <c r="U88" s="25"/>
      <c r="V88" s="22">
        <f>SUM(D88:U88)-SUM(E88,F88,G88,H88,I88)</f>
        <v>530.8</v>
      </c>
    </row>
    <row r="89" spans="1:22" s="10" customFormat="1" ht="11.25">
      <c r="A89" s="30" t="s">
        <v>197</v>
      </c>
      <c r="B89" s="23" t="s">
        <v>177</v>
      </c>
      <c r="C89" s="27">
        <v>1994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20">
        <f>ROUND(552642/(17*60+34),1)</f>
        <v>524.3</v>
      </c>
      <c r="Q89" s="37">
        <v>0</v>
      </c>
      <c r="R89" s="19">
        <v>0</v>
      </c>
      <c r="S89" s="19">
        <v>0</v>
      </c>
      <c r="T89" s="25"/>
      <c r="U89" s="25"/>
      <c r="V89" s="22">
        <f>SUM(D89:U89)-SUM(D89,E89,F89,G89,H89)</f>
        <v>524.3</v>
      </c>
    </row>
    <row r="90" spans="1:22" s="10" customFormat="1" ht="11.25">
      <c r="A90" s="30" t="s">
        <v>199</v>
      </c>
      <c r="B90" s="23" t="s">
        <v>164</v>
      </c>
      <c r="C90" s="27">
        <v>1978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0">
        <f>ROUND(1640090/(53*60+42),1)</f>
        <v>509</v>
      </c>
      <c r="J90" s="37">
        <v>0</v>
      </c>
      <c r="K90" s="37">
        <v>0</v>
      </c>
      <c r="L90" s="19">
        <v>0</v>
      </c>
      <c r="M90" s="37">
        <v>0</v>
      </c>
      <c r="N90" s="19">
        <v>0</v>
      </c>
      <c r="O90" s="26">
        <v>0</v>
      </c>
      <c r="P90" s="37">
        <v>0</v>
      </c>
      <c r="Q90" s="37">
        <v>0</v>
      </c>
      <c r="R90" s="37">
        <v>0</v>
      </c>
      <c r="S90" s="19">
        <v>0</v>
      </c>
      <c r="T90" s="25"/>
      <c r="U90" s="25"/>
      <c r="V90" s="22">
        <f>SUM(D90:U90)-SUM(D90,E90,F90,G90,H90)</f>
        <v>509</v>
      </c>
    </row>
    <row r="91" spans="1:22" s="10" customFormat="1" ht="11.25">
      <c r="A91" s="30" t="s">
        <v>200</v>
      </c>
      <c r="B91" s="23" t="s">
        <v>193</v>
      </c>
      <c r="C91" s="27">
        <v>1993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20">
        <f>ROUND(1486403/(49*60+16),1)</f>
        <v>502.8</v>
      </c>
      <c r="R91" s="19">
        <v>0</v>
      </c>
      <c r="S91" s="19">
        <v>0</v>
      </c>
      <c r="T91" s="25"/>
      <c r="U91" s="25"/>
      <c r="V91" s="22">
        <f>SUM(D91:U91)-SUM(E91,F91,G91,H91,I91)</f>
        <v>502.8</v>
      </c>
    </row>
    <row r="92" spans="1:22" s="10" customFormat="1" ht="11.25">
      <c r="A92" s="30" t="s">
        <v>201</v>
      </c>
      <c r="B92" s="23" t="s">
        <v>153</v>
      </c>
      <c r="C92" s="18">
        <v>1946</v>
      </c>
      <c r="D92" s="24">
        <v>0</v>
      </c>
      <c r="E92" s="24">
        <v>0</v>
      </c>
      <c r="F92" s="24">
        <v>0</v>
      </c>
      <c r="G92" s="24">
        <v>0</v>
      </c>
      <c r="H92" s="21">
        <f>ROUND(2065840/(69*60+2),1)</f>
        <v>498.8</v>
      </c>
      <c r="I92" s="23">
        <v>0</v>
      </c>
      <c r="J92" s="26">
        <v>0</v>
      </c>
      <c r="K92" s="26">
        <v>0</v>
      </c>
      <c r="L92" s="25">
        <v>0</v>
      </c>
      <c r="M92" s="26">
        <v>0</v>
      </c>
      <c r="N92" s="25">
        <v>0</v>
      </c>
      <c r="O92" s="26">
        <v>0</v>
      </c>
      <c r="P92" s="37">
        <v>0</v>
      </c>
      <c r="Q92" s="26">
        <v>0</v>
      </c>
      <c r="R92" s="25">
        <v>0</v>
      </c>
      <c r="S92" s="25">
        <v>0</v>
      </c>
      <c r="T92" s="25"/>
      <c r="U92" s="25"/>
      <c r="V92" s="22">
        <f>SUM(D92:U92)-SUM(D92,E92,F92,G92,I92)</f>
        <v>498.8</v>
      </c>
    </row>
    <row r="93" spans="1:22" s="10" customFormat="1" ht="11.25">
      <c r="A93" s="30" t="s">
        <v>202</v>
      </c>
      <c r="B93" s="23" t="s">
        <v>154</v>
      </c>
      <c r="C93" s="27">
        <v>1977</v>
      </c>
      <c r="D93" s="24">
        <v>0</v>
      </c>
      <c r="E93" s="24">
        <v>0</v>
      </c>
      <c r="F93" s="24">
        <v>0</v>
      </c>
      <c r="G93" s="24">
        <v>0</v>
      </c>
      <c r="H93" s="20">
        <f>ROUND(1561990/(53*60+26),1)</f>
        <v>487.2</v>
      </c>
      <c r="I93" s="23">
        <v>0</v>
      </c>
      <c r="J93" s="37">
        <v>0</v>
      </c>
      <c r="K93" s="37">
        <v>0</v>
      </c>
      <c r="L93" s="19">
        <v>0</v>
      </c>
      <c r="M93" s="37">
        <v>0</v>
      </c>
      <c r="N93" s="19">
        <v>0</v>
      </c>
      <c r="O93" s="26">
        <v>0</v>
      </c>
      <c r="P93" s="37">
        <v>0</v>
      </c>
      <c r="Q93" s="37">
        <v>0</v>
      </c>
      <c r="R93" s="37">
        <v>0</v>
      </c>
      <c r="S93" s="19">
        <v>0</v>
      </c>
      <c r="T93" s="25"/>
      <c r="U93" s="25"/>
      <c r="V93" s="22">
        <f>SUM(D93:U93)-SUM(D93,E93,F93,G93,I93)</f>
        <v>487.2</v>
      </c>
    </row>
    <row r="94" spans="1:22" s="10" customFormat="1" ht="11.25">
      <c r="A94" s="30" t="s">
        <v>203</v>
      </c>
      <c r="B94" s="23" t="s">
        <v>198</v>
      </c>
      <c r="C94" s="27">
        <v>1980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20">
        <f>ROUND(1437390/(50*60+9),1)</f>
        <v>477.7</v>
      </c>
      <c r="R94" s="25">
        <v>0</v>
      </c>
      <c r="S94" s="25">
        <v>0</v>
      </c>
      <c r="T94" s="25"/>
      <c r="U94" s="25"/>
      <c r="V94" s="22">
        <f>SUM(D94:U94)-SUM(E94,F94,G94,H94,I94)</f>
        <v>477.7</v>
      </c>
    </row>
    <row r="95" spans="1:22" s="10" customFormat="1" ht="11.25">
      <c r="A95" s="30" t="s">
        <v>204</v>
      </c>
      <c r="B95" s="23" t="s">
        <v>178</v>
      </c>
      <c r="C95" s="27">
        <v>1995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20">
        <f>ROUND(498569/(18*60+10),1)</f>
        <v>457.4</v>
      </c>
      <c r="Q95" s="37">
        <v>0</v>
      </c>
      <c r="R95" s="19">
        <v>0</v>
      </c>
      <c r="S95" s="19">
        <v>0</v>
      </c>
      <c r="T95" s="25"/>
      <c r="U95" s="25"/>
      <c r="V95" s="22">
        <f>SUM(D95:U95)-SUM(D95,E95,F95,G95,H95)</f>
        <v>457.4</v>
      </c>
    </row>
    <row r="96" spans="1:22" s="10" customFormat="1" ht="11.25">
      <c r="A96" s="30" t="s">
        <v>206</v>
      </c>
      <c r="B96" s="23" t="s">
        <v>179</v>
      </c>
      <c r="C96" s="27">
        <v>1994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20">
        <f>ROUND(498569/(18*60+19),1)</f>
        <v>453.7</v>
      </c>
      <c r="Q96" s="37">
        <v>0</v>
      </c>
      <c r="R96" s="19">
        <v>0</v>
      </c>
      <c r="S96" s="19">
        <v>0</v>
      </c>
      <c r="T96" s="25"/>
      <c r="U96" s="25"/>
      <c r="V96" s="22">
        <f>SUM(D96:U96)-SUM(D96,E96,F96,G96,H96)</f>
        <v>453.7</v>
      </c>
    </row>
    <row r="97" spans="1:22" s="10" customFormat="1" ht="11.25">
      <c r="A97" s="30" t="s">
        <v>207</v>
      </c>
      <c r="B97" s="23" t="s">
        <v>142</v>
      </c>
      <c r="C97" s="27">
        <v>1996</v>
      </c>
      <c r="D97" s="24">
        <v>0</v>
      </c>
      <c r="E97" s="24">
        <v>0</v>
      </c>
      <c r="F97" s="24">
        <v>0</v>
      </c>
      <c r="G97" s="21">
        <f>ROUND(777321/(29*60+26),1)</f>
        <v>440.2</v>
      </c>
      <c r="H97" s="24">
        <v>0</v>
      </c>
      <c r="I97" s="23">
        <v>0</v>
      </c>
      <c r="J97" s="26">
        <v>0</v>
      </c>
      <c r="K97" s="26">
        <v>0</v>
      </c>
      <c r="L97" s="25">
        <v>0</v>
      </c>
      <c r="M97" s="26">
        <v>0</v>
      </c>
      <c r="N97" s="25">
        <v>0</v>
      </c>
      <c r="O97" s="26">
        <v>0</v>
      </c>
      <c r="P97" s="37">
        <v>0</v>
      </c>
      <c r="Q97" s="26">
        <v>0</v>
      </c>
      <c r="R97" s="25">
        <v>0</v>
      </c>
      <c r="S97" s="25">
        <v>0</v>
      </c>
      <c r="T97" s="25"/>
      <c r="U97" s="25"/>
      <c r="V97" s="22">
        <f>SUM(D97:U97)-SUM(D97,E97,F97,H97,I97)</f>
        <v>440.2</v>
      </c>
    </row>
    <row r="98" spans="1:22" s="10" customFormat="1" ht="11.25">
      <c r="A98" s="30" t="s">
        <v>209</v>
      </c>
      <c r="B98" s="23" t="s">
        <v>144</v>
      </c>
      <c r="C98" s="27">
        <v>1997</v>
      </c>
      <c r="D98" s="24">
        <v>0</v>
      </c>
      <c r="E98" s="24">
        <v>0</v>
      </c>
      <c r="F98" s="24">
        <v>0</v>
      </c>
      <c r="G98" s="21">
        <f>ROUND(777321/(29*60+26),1)</f>
        <v>440.2</v>
      </c>
      <c r="H98" s="24">
        <v>0</v>
      </c>
      <c r="I98" s="23">
        <v>0</v>
      </c>
      <c r="J98" s="26">
        <v>0</v>
      </c>
      <c r="K98" s="26">
        <v>0</v>
      </c>
      <c r="L98" s="25">
        <v>0</v>
      </c>
      <c r="M98" s="26">
        <v>0</v>
      </c>
      <c r="N98" s="25">
        <v>0</v>
      </c>
      <c r="O98" s="26">
        <v>0</v>
      </c>
      <c r="P98" s="37">
        <v>0</v>
      </c>
      <c r="Q98" s="47">
        <v>0</v>
      </c>
      <c r="R98" s="25">
        <v>0</v>
      </c>
      <c r="S98" s="46">
        <v>0</v>
      </c>
      <c r="T98" s="25"/>
      <c r="U98" s="25"/>
      <c r="V98" s="22">
        <f>SUM(D98:U98)-SUM(D98,E98,F98,H98,I98)</f>
        <v>440.2</v>
      </c>
    </row>
    <row r="99" spans="1:22" s="10" customFormat="1" ht="11.25">
      <c r="A99" s="30" t="s">
        <v>211</v>
      </c>
      <c r="B99" s="23" t="s">
        <v>159</v>
      </c>
      <c r="C99" s="27">
        <v>1972</v>
      </c>
      <c r="D99" s="24">
        <v>0</v>
      </c>
      <c r="E99" s="24">
        <v>0</v>
      </c>
      <c r="F99" s="24">
        <v>0</v>
      </c>
      <c r="G99" s="24">
        <v>0</v>
      </c>
      <c r="H99" s="20">
        <f>ROUND(1795000/(68*60+29),1)</f>
        <v>436.8</v>
      </c>
      <c r="I99" s="23">
        <v>0</v>
      </c>
      <c r="J99" s="37">
        <v>0</v>
      </c>
      <c r="K99" s="37">
        <v>0</v>
      </c>
      <c r="L99" s="19">
        <v>0</v>
      </c>
      <c r="M99" s="37">
        <v>0</v>
      </c>
      <c r="N99" s="19">
        <v>0</v>
      </c>
      <c r="O99" s="26">
        <v>0</v>
      </c>
      <c r="P99" s="37">
        <v>0</v>
      </c>
      <c r="Q99" s="37">
        <v>0</v>
      </c>
      <c r="R99" s="19">
        <v>0</v>
      </c>
      <c r="S99" s="19">
        <v>0</v>
      </c>
      <c r="T99" s="25"/>
      <c r="U99" s="25"/>
      <c r="V99" s="22">
        <f>SUM(D99:U99)-SUM(D99,E99,F99,G99,I99)</f>
        <v>436.8</v>
      </c>
    </row>
    <row r="100" spans="1:22" s="10" customFormat="1" ht="11.25">
      <c r="A100" s="30" t="s">
        <v>213</v>
      </c>
      <c r="B100" s="23" t="s">
        <v>205</v>
      </c>
      <c r="C100" s="27">
        <v>1998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20">
        <f>ROUND(1486403/(59*60+2),1)</f>
        <v>419.7</v>
      </c>
      <c r="R100" s="19">
        <v>0</v>
      </c>
      <c r="S100" s="19">
        <v>0</v>
      </c>
      <c r="T100" s="25"/>
      <c r="U100" s="25"/>
      <c r="V100" s="22">
        <f>SUM(D100:U100)-SUM(E100,F100,G100,H100,I100)</f>
        <v>419.7</v>
      </c>
    </row>
    <row r="101" spans="1:22" s="10" customFormat="1" ht="11.25">
      <c r="A101" s="30" t="s">
        <v>217</v>
      </c>
      <c r="B101" s="34" t="s">
        <v>59</v>
      </c>
      <c r="C101" s="35">
        <v>1975</v>
      </c>
      <c r="D101" s="19">
        <f>ROUND(843782/(34*60+18.5),1)</f>
        <v>409.9</v>
      </c>
      <c r="E101" s="23">
        <v>0</v>
      </c>
      <c r="F101" s="23">
        <v>0</v>
      </c>
      <c r="G101" s="24">
        <v>0</v>
      </c>
      <c r="H101" s="24">
        <v>0</v>
      </c>
      <c r="I101" s="23">
        <v>0</v>
      </c>
      <c r="J101" s="37">
        <v>0</v>
      </c>
      <c r="K101" s="37">
        <v>0</v>
      </c>
      <c r="L101" s="19">
        <v>0</v>
      </c>
      <c r="M101" s="37">
        <v>0</v>
      </c>
      <c r="N101" s="19">
        <v>0</v>
      </c>
      <c r="O101" s="26">
        <v>0</v>
      </c>
      <c r="P101" s="37">
        <v>0</v>
      </c>
      <c r="Q101" s="37">
        <v>0</v>
      </c>
      <c r="R101" s="19">
        <v>0</v>
      </c>
      <c r="S101" s="37">
        <v>0</v>
      </c>
      <c r="T101" s="25"/>
      <c r="U101" s="25"/>
      <c r="V101" s="22">
        <f>SUM(D101:U101)-SUM(E101,F101,G101,H101,I101)</f>
        <v>409.9</v>
      </c>
    </row>
    <row r="102" spans="1:22" s="10" customFormat="1" ht="11.25">
      <c r="A102" s="30" t="s">
        <v>218</v>
      </c>
      <c r="B102" s="23" t="s">
        <v>116</v>
      </c>
      <c r="C102" s="18">
        <v>1998</v>
      </c>
      <c r="D102" s="19">
        <f>ROUND(840661/(34*60+18.5),1)</f>
        <v>408.4</v>
      </c>
      <c r="E102" s="24">
        <v>0</v>
      </c>
      <c r="F102" s="23">
        <v>0</v>
      </c>
      <c r="G102" s="24">
        <v>0</v>
      </c>
      <c r="H102" s="24">
        <v>0</v>
      </c>
      <c r="I102" s="23">
        <v>0</v>
      </c>
      <c r="J102" s="37">
        <v>0</v>
      </c>
      <c r="K102" s="37">
        <v>0</v>
      </c>
      <c r="L102" s="19">
        <v>0</v>
      </c>
      <c r="M102" s="37">
        <v>0</v>
      </c>
      <c r="N102" s="19">
        <v>0</v>
      </c>
      <c r="O102" s="26">
        <v>0</v>
      </c>
      <c r="P102" s="37">
        <v>0</v>
      </c>
      <c r="Q102" s="37">
        <v>0</v>
      </c>
      <c r="R102" s="19">
        <v>0</v>
      </c>
      <c r="S102" s="19">
        <v>0</v>
      </c>
      <c r="T102" s="25"/>
      <c r="U102" s="25"/>
      <c r="V102" s="22">
        <f>SUM(D102:U102)-SUM(E102,F102,G102,H102,I102)</f>
        <v>408.4</v>
      </c>
    </row>
    <row r="103" spans="1:22" s="10" customFormat="1" ht="11.25">
      <c r="A103" s="30" t="s">
        <v>220</v>
      </c>
      <c r="B103" s="23" t="s">
        <v>208</v>
      </c>
      <c r="C103" s="27">
        <v>1975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21">
        <f>ROUND(1493274/(61*60+37),1)</f>
        <v>403.9</v>
      </c>
      <c r="R103" s="25">
        <v>0</v>
      </c>
      <c r="S103" s="25">
        <v>0</v>
      </c>
      <c r="T103" s="25"/>
      <c r="U103" s="25"/>
      <c r="V103" s="22">
        <f>SUM(D103:U103)-SUM(E103,F103,G103,H103,I103)</f>
        <v>403.9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0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Míra</dc:creator>
  <cp:keywords/>
  <dc:description/>
  <cp:lastModifiedBy>SAKI</cp:lastModifiedBy>
  <cp:lastPrinted>2011-11-26T20:46:49Z</cp:lastPrinted>
  <dcterms:created xsi:type="dcterms:W3CDTF">2009-02-15T20:56:58Z</dcterms:created>
  <dcterms:modified xsi:type="dcterms:W3CDTF">2011-11-26T20:46:52Z</dcterms:modified>
  <cp:category/>
  <cp:version/>
  <cp:contentType/>
  <cp:contentStatus/>
</cp:coreProperties>
</file>